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https://chuukakushi-my.sharepoint.com/personal/shityoukai_chuukakushi_onmicrosoft_com/Documents/OneDrive/★共有フォルダ/4101 都市要覧/R02都市要覧/20 R6年度以降の修正/R071210/"/>
    </mc:Choice>
  </mc:AlternateContent>
  <xr:revisionPtr revIDLastSave="61" documentId="8_{D81F492B-99C9-45DC-8DBA-599E1517139A}" xr6:coauthVersionLast="47" xr6:coauthVersionMax="47" xr10:uidLastSave="{6CB6163A-4CF9-4414-8D1C-94C74B5FC5E4}"/>
  <bookViews>
    <workbookView xWindow="22932" yWindow="-108" windowWidth="23256" windowHeight="12456" tabRatio="774" xr2:uid="{D0EB1CE2-4289-412A-AFEF-0EB3258443A3}"/>
  </bookViews>
  <sheets>
    <sheet name="表紙" sheetId="1" r:id="rId1"/>
    <sheet name="記入要領" sheetId="2" r:id="rId2"/>
    <sheet name="１市　勢" sheetId="3" r:id="rId3"/>
    <sheet name="２職員数及び職員給料等" sheetId="4" r:id="rId4"/>
    <sheet name="３保健・福祉" sheetId="5" r:id="rId5"/>
    <sheet name="４環　境" sheetId="6" r:id="rId6"/>
    <sheet name="５産　業" sheetId="7" r:id="rId7"/>
    <sheet name="６　都　市 " sheetId="8" r:id="rId8"/>
    <sheet name="7　施　設" sheetId="9" r:id="rId9"/>
    <sheet name="ⅰ　歳入・歳出総額" sheetId="10" r:id="rId10"/>
    <sheet name="ⅱ　歳入内訳（款別）" sheetId="11" r:id="rId11"/>
    <sheet name="ⅲ　目的別歳出内訳" sheetId="12" r:id="rId12"/>
    <sheet name="ⅳ　市税内訳" sheetId="13" r:id="rId13"/>
    <sheet name="ⅴ　市税徴収率" sheetId="14" r:id="rId14"/>
    <sheet name="中核市合併の変遷" sheetId="15" r:id="rId15"/>
  </sheets>
  <definedNames>
    <definedName name="_xlnm._FilterDatabase" localSheetId="2" hidden="1">'１市　勢'!$A$6:$AM$73</definedName>
    <definedName name="_xlnm._FilterDatabase" localSheetId="3" hidden="1">'２職員数及び職員給料等'!$A$6:$AE$76</definedName>
    <definedName name="_xlnm._FilterDatabase" localSheetId="4" hidden="1">'３保健・福祉'!$A$6:$CT$6</definedName>
    <definedName name="_xlnm._FilterDatabase" localSheetId="5" hidden="1">'４環　境'!$A$6:$BQ$6</definedName>
    <definedName name="_xlnm._FilterDatabase" localSheetId="6" hidden="1">'５産　業'!$A$6:$Y$6</definedName>
    <definedName name="_xlnm._FilterDatabase" localSheetId="7" hidden="1">'６　都　市 '!$A$6:$AK$6</definedName>
    <definedName name="_xlnm._FilterDatabase" localSheetId="8" hidden="1">'7　施　設'!$A$6:$DC$6</definedName>
    <definedName name="_xlnm._FilterDatabase" localSheetId="9" hidden="1">'ⅰ　歳入・歳出総額'!$A$6:$Z$6</definedName>
    <definedName name="_xlnm._FilterDatabase" localSheetId="10" hidden="1">'ⅱ　歳入内訳（款別）'!$A$6:$BF$71</definedName>
    <definedName name="_xlnm._FilterDatabase" localSheetId="11" hidden="1">'ⅲ　目的別歳出内訳'!$A$6:$AF$6</definedName>
    <definedName name="_xlnm._FilterDatabase" localSheetId="12" hidden="1">'ⅳ　市税内訳'!$A$1:$AC$7</definedName>
    <definedName name="_xlnm._FilterDatabase" localSheetId="13" hidden="1">'ⅴ　市税徴収率'!$A$6:$AC$6</definedName>
    <definedName name="_xlnm.Print_Area" localSheetId="2">'１市　勢'!$A$3:$AJ$75</definedName>
    <definedName name="_xlnm.Print_Area" localSheetId="3">'２職員数及び職員給料等'!$A$3:$K$76</definedName>
    <definedName name="_xlnm.Print_Area" localSheetId="4">'３保健・福祉'!$A$2:$CT$79</definedName>
    <definedName name="_xlnm.Print_Area" localSheetId="5">'４環　境'!$A$3:$N$75</definedName>
    <definedName name="_xlnm.Print_Area" localSheetId="6">'５産　業'!$A$3:$X$76</definedName>
    <definedName name="_xlnm.Print_Area" localSheetId="7">'６　都　市 '!$A$2:$AK$77</definedName>
    <definedName name="_xlnm.Print_Area" localSheetId="8">'7　施　設'!$A$2:$DA$79</definedName>
    <definedName name="_xlnm.Print_Area" localSheetId="9">'ⅰ　歳入・歳出総額'!$A$3:$Z$71</definedName>
    <definedName name="_xlnm.Print_Area" localSheetId="10">'ⅱ　歳入内訳（款別）'!$A$3:$BD$71</definedName>
    <definedName name="_xlnm.Print_Area" localSheetId="11">'ⅲ　目的別歳出内訳'!$A$3:$AE$71</definedName>
    <definedName name="_xlnm.Print_Area" localSheetId="12">'ⅳ　市税内訳'!$A$3:$AC$71</definedName>
    <definedName name="_xlnm.Print_Area" localSheetId="13">'ⅴ　市税徴収率'!$A$3:$J$71</definedName>
    <definedName name="_xlnm.Print_Area" localSheetId="1">記入要領!$A$1:$C$62</definedName>
    <definedName name="_xlnm.Print_Area" localSheetId="14">中核市合併の変遷!$A$1:$D$90</definedName>
    <definedName name="_xlnm.Print_Titles" localSheetId="2">'１市　勢'!$A:$A</definedName>
    <definedName name="_xlnm.Print_Titles" localSheetId="4">'３保健・福祉'!$A:$A</definedName>
    <definedName name="_xlnm.Print_Titles" localSheetId="6">'５産　業'!$A:$A</definedName>
    <definedName name="_xlnm.Print_Titles" localSheetId="7">'６　都　市 '!$A:$A</definedName>
    <definedName name="_xlnm.Print_Titles" localSheetId="8">'7　施　設'!$A:$A</definedName>
    <definedName name="_xlnm.Print_Titles" localSheetId="9">'ⅰ　歳入・歳出総額'!$A:$A</definedName>
    <definedName name="_xlnm.Print_Titles" localSheetId="10">'ⅱ　歳入内訳（款別）'!$A:$A</definedName>
    <definedName name="_xlnm.Print_Titles" localSheetId="11">'ⅲ　目的別歳出内訳'!$A:$A</definedName>
    <definedName name="_xlnm.Print_Titles" localSheetId="12">'ⅳ　市税内訳'!$A:$A</definedName>
    <definedName name="_xlnm.Print_Titles" localSheetId="13">'ⅴ　市税徴収率'!$A:$A</definedName>
    <definedName name="_xlnm.Print_Titles" localSheetId="1">記入要領!$19:$19</definedName>
    <definedName name="Z_429188B7_F8E8_41E0_BAA6_8F869C883D4F_.wvu.FilterData" localSheetId="4" hidden="1">'３保健・福祉'!$CD$2:$CN$74</definedName>
    <definedName name="Z_429188B7_F8E8_41E0_BAA6_8F869C883D4F_.wvu.FilterData" localSheetId="5" hidden="1">'４環　境'!$A$7:$M$72</definedName>
    <definedName name="Z_429188B7_F8E8_41E0_BAA6_8F869C883D4F_.wvu.FilterData" localSheetId="10" hidden="1">'ⅱ　歳入内訳（款別）'!$A$7:$BD$7</definedName>
    <definedName name="Z_429188B7_F8E8_41E0_BAA6_8F869C883D4F_.wvu.FilterData" localSheetId="11" hidden="1">'ⅲ　目的別歳出内訳'!$A$1:$AE$7</definedName>
    <definedName name="Z_429188B7_F8E8_41E0_BAA6_8F869C883D4F_.wvu.FilterData" localSheetId="12" hidden="1">'ⅳ　市税内訳'!$A$1:$AC$7</definedName>
    <definedName name="Z_429188B7_F8E8_41E0_BAA6_8F869C883D4F_.wvu.PrintArea" localSheetId="2" hidden="1">'１市　勢'!$A$3:$AJ$75</definedName>
    <definedName name="Z_429188B7_F8E8_41E0_BAA6_8F869C883D4F_.wvu.PrintArea" localSheetId="3" hidden="1">'２職員数及び職員給料等'!$A$3:$K$78</definedName>
    <definedName name="Z_429188B7_F8E8_41E0_BAA6_8F869C883D4F_.wvu.PrintArea" localSheetId="4" hidden="1">'３保健・福祉'!$A$2:$CT$78</definedName>
    <definedName name="Z_429188B7_F8E8_41E0_BAA6_8F869C883D4F_.wvu.PrintArea" localSheetId="5" hidden="1">'４環　境'!$A$3:$N$78</definedName>
    <definedName name="Z_429188B7_F8E8_41E0_BAA6_8F869C883D4F_.wvu.PrintArea" localSheetId="6" hidden="1">'５産　業'!$A$3:$X$75</definedName>
    <definedName name="Z_429188B7_F8E8_41E0_BAA6_8F869C883D4F_.wvu.PrintArea" localSheetId="7" hidden="1">'６　都　市 '!$A$2:$AK$81</definedName>
    <definedName name="Z_429188B7_F8E8_41E0_BAA6_8F869C883D4F_.wvu.PrintArea" localSheetId="8" hidden="1">'7　施　設'!$A$2:$DA$80</definedName>
    <definedName name="Z_429188B7_F8E8_41E0_BAA6_8F869C883D4F_.wvu.PrintArea" localSheetId="9" hidden="1">'ⅰ　歳入・歳出総額'!$A$3:$Y$77</definedName>
    <definedName name="Z_429188B7_F8E8_41E0_BAA6_8F869C883D4F_.wvu.PrintArea" localSheetId="10" hidden="1">'ⅱ　歳入内訳（款別）'!$A$3:$BD$77</definedName>
    <definedName name="Z_429188B7_F8E8_41E0_BAA6_8F869C883D4F_.wvu.PrintArea" localSheetId="11" hidden="1">'ⅲ　目的別歳出内訳'!$A$3:$AE$77</definedName>
    <definedName name="Z_429188B7_F8E8_41E0_BAA6_8F869C883D4F_.wvu.PrintArea" localSheetId="12" hidden="1">'ⅳ　市税内訳'!$A$3:$AC$81</definedName>
    <definedName name="Z_429188B7_F8E8_41E0_BAA6_8F869C883D4F_.wvu.PrintArea" localSheetId="13" hidden="1">'ⅴ　市税徴収率'!$A$3:$J$80</definedName>
    <definedName name="Z_429188B7_F8E8_41E0_BAA6_8F869C883D4F_.wvu.PrintArea" localSheetId="1" hidden="1">記入要領!$A$1:$C$64</definedName>
    <definedName name="Z_429188B7_F8E8_41E0_BAA6_8F869C883D4F_.wvu.PrintArea" localSheetId="14" hidden="1">中核市合併の変遷!$A$1:$D$89</definedName>
    <definedName name="Z_429188B7_F8E8_41E0_BAA6_8F869C883D4F_.wvu.PrintTitles" localSheetId="2" hidden="1">'１市　勢'!$A:$A</definedName>
    <definedName name="Z_429188B7_F8E8_41E0_BAA6_8F869C883D4F_.wvu.PrintTitles" localSheetId="4" hidden="1">'３保健・福祉'!$A:$A</definedName>
    <definedName name="Z_429188B7_F8E8_41E0_BAA6_8F869C883D4F_.wvu.PrintTitles" localSheetId="6" hidden="1">'５産　業'!$A:$A</definedName>
    <definedName name="Z_429188B7_F8E8_41E0_BAA6_8F869C883D4F_.wvu.PrintTitles" localSheetId="7" hidden="1">'６　都　市 '!$A:$A</definedName>
    <definedName name="Z_429188B7_F8E8_41E0_BAA6_8F869C883D4F_.wvu.PrintTitles" localSheetId="8" hidden="1">'7　施　設'!$A:$A</definedName>
    <definedName name="Z_429188B7_F8E8_41E0_BAA6_8F869C883D4F_.wvu.PrintTitles" localSheetId="9" hidden="1">'ⅰ　歳入・歳出総額'!$A:$A</definedName>
    <definedName name="Z_429188B7_F8E8_41E0_BAA6_8F869C883D4F_.wvu.PrintTitles" localSheetId="10" hidden="1">'ⅱ　歳入内訳（款別）'!$A:$A</definedName>
    <definedName name="Z_429188B7_F8E8_41E0_BAA6_8F869C883D4F_.wvu.PrintTitles" localSheetId="11" hidden="1">'ⅲ　目的別歳出内訳'!$A:$A</definedName>
    <definedName name="Z_429188B7_F8E8_41E0_BAA6_8F869C883D4F_.wvu.PrintTitles" localSheetId="12" hidden="1">'ⅳ　市税内訳'!$A:$A</definedName>
    <definedName name="Z_429188B7_F8E8_41E0_BAA6_8F869C883D4F_.wvu.PrintTitles" localSheetId="13" hidden="1">'ⅴ　市税徴収率'!$A:$A</definedName>
    <definedName name="Z_429188B7_F8E8_41E0_BAA6_8F869C883D4F_.wvu.PrintTitles" localSheetId="1" hidden="1">記入要領!$19:$19</definedName>
    <definedName name="Z_CFB8F6A3_286B_44DA_98E2_E06FA9DC17D9_.wvu.FilterData" localSheetId="4" hidden="1">'３保健・福祉'!$CD$2:$CN$74</definedName>
    <definedName name="Z_CFB8F6A3_286B_44DA_98E2_E06FA9DC17D9_.wvu.FilterData" localSheetId="5" hidden="1">'４環　境'!$A$7:$M$72</definedName>
    <definedName name="Z_CFB8F6A3_286B_44DA_98E2_E06FA9DC17D9_.wvu.FilterData" localSheetId="10" hidden="1">'ⅱ　歳入内訳（款別）'!$A$7:$BD$7</definedName>
    <definedName name="Z_CFB8F6A3_286B_44DA_98E2_E06FA9DC17D9_.wvu.FilterData" localSheetId="11" hidden="1">'ⅲ　目的別歳出内訳'!$A$1:$AE$7</definedName>
    <definedName name="Z_CFB8F6A3_286B_44DA_98E2_E06FA9DC17D9_.wvu.FilterData" localSheetId="12" hidden="1">'ⅳ　市税内訳'!$A$1:$AC$7</definedName>
    <definedName name="Z_CFB8F6A3_286B_44DA_98E2_E06FA9DC17D9_.wvu.PrintArea" localSheetId="2" hidden="1">'１市　勢'!$A$1:$AJ$75</definedName>
    <definedName name="Z_CFB8F6A3_286B_44DA_98E2_E06FA9DC17D9_.wvu.PrintArea" localSheetId="3" hidden="1">'２職員数及び職員給料等'!$A$1:$K$78</definedName>
    <definedName name="Z_CFB8F6A3_286B_44DA_98E2_E06FA9DC17D9_.wvu.PrintArea" localSheetId="4" hidden="1">'３保健・福祉'!$A$1:$CR$80,'３保健・福祉'!#REF!</definedName>
    <definedName name="Z_CFB8F6A3_286B_44DA_98E2_E06FA9DC17D9_.wvu.PrintArea" localSheetId="5" hidden="1">'４環　境'!$A$1:$N$78,'４環　境'!$P:$P</definedName>
    <definedName name="Z_CFB8F6A3_286B_44DA_98E2_E06FA9DC17D9_.wvu.PrintArea" localSheetId="6" hidden="1">'５産　業'!$A$1:$X$78,'５産　業'!#REF!</definedName>
    <definedName name="Z_CFB8F6A3_286B_44DA_98E2_E06FA9DC17D9_.wvu.PrintArea" localSheetId="7" hidden="1">'６　都　市 '!$A$1:$AI$77</definedName>
    <definedName name="Z_CFB8F6A3_286B_44DA_98E2_E06FA9DC17D9_.wvu.PrintArea" localSheetId="8" hidden="1">'7　施　設'!$A$1:$DA$78</definedName>
    <definedName name="Z_CFB8F6A3_286B_44DA_98E2_E06FA9DC17D9_.wvu.PrintArea" localSheetId="9" hidden="1">'ⅰ　歳入・歳出総額'!$A$1:$Y$77</definedName>
    <definedName name="Z_CFB8F6A3_286B_44DA_98E2_E06FA9DC17D9_.wvu.PrintArea" localSheetId="10" hidden="1">'ⅱ　歳入内訳（款別）'!$A$1:$BD$77</definedName>
    <definedName name="Z_CFB8F6A3_286B_44DA_98E2_E06FA9DC17D9_.wvu.PrintArea" localSheetId="11" hidden="1">'ⅲ　目的別歳出内訳'!$A$1:$AE$77</definedName>
    <definedName name="Z_CFB8F6A3_286B_44DA_98E2_E06FA9DC17D9_.wvu.PrintArea" localSheetId="12" hidden="1">'ⅳ　市税内訳'!$A$1:$AC$77,'ⅳ　市税内訳'!#REF!</definedName>
    <definedName name="Z_CFB8F6A3_286B_44DA_98E2_E06FA9DC17D9_.wvu.PrintArea" localSheetId="13" hidden="1">'ⅴ　市税徴収率'!$A$1:$J$77,'ⅴ　市税徴収率'!#REF!</definedName>
    <definedName name="Z_CFB8F6A3_286B_44DA_98E2_E06FA9DC17D9_.wvu.PrintArea" localSheetId="1" hidden="1">記入要領!$A$1:$C$64</definedName>
    <definedName name="Z_CFB8F6A3_286B_44DA_98E2_E06FA9DC17D9_.wvu.PrintArea" localSheetId="14" hidden="1">中核市合併の変遷!$A$1:$D$88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8" l="1"/>
  <c r="K39" i="6" l="1"/>
  <c r="I39" i="6"/>
  <c r="H39" i="6"/>
  <c r="D39" i="6"/>
  <c r="L69" i="7" l="1"/>
  <c r="M69" i="7"/>
  <c r="L70" i="7"/>
  <c r="M70" i="7"/>
  <c r="D50" i="6" l="1"/>
  <c r="B50" i="6"/>
  <c r="C50" i="6" s="1"/>
  <c r="F49" i="6" l="1"/>
  <c r="B49" i="6" s="1"/>
  <c r="F24" i="6" l="1"/>
  <c r="T70" i="8" l="1"/>
  <c r="AX11" i="5" l="1"/>
  <c r="AV11" i="5"/>
  <c r="AT11" i="5"/>
  <c r="AR11" i="5"/>
  <c r="AX64" i="5"/>
  <c r="AV64" i="5"/>
  <c r="AT64" i="5"/>
  <c r="AR64" i="5"/>
  <c r="AX70" i="5" l="1"/>
  <c r="AR70" i="5"/>
  <c r="AT70" i="5"/>
  <c r="AV70" i="5"/>
  <c r="L64" i="3"/>
  <c r="H64" i="3"/>
  <c r="L22" i="3" l="1"/>
  <c r="H22" i="3"/>
  <c r="AT40" i="9" l="1"/>
  <c r="AS40" i="9"/>
  <c r="AC40" i="8"/>
  <c r="L40" i="3"/>
  <c r="H40" i="3"/>
  <c r="L48" i="3" l="1"/>
  <c r="H48" i="3"/>
  <c r="CS13" i="9" l="1"/>
  <c r="BO13" i="9"/>
  <c r="BN13" i="9"/>
  <c r="AU13" i="9"/>
  <c r="L43" i="3" l="1"/>
  <c r="H43" i="3"/>
  <c r="CS57" i="9" l="1"/>
  <c r="K11" i="10" l="1"/>
  <c r="D11" i="10"/>
  <c r="F11" i="10" s="1"/>
  <c r="BT11" i="9"/>
  <c r="V41" i="8" l="1"/>
  <c r="BQ39" i="9" l="1"/>
  <c r="BP39" i="9"/>
  <c r="BO39" i="9"/>
  <c r="BN39" i="9"/>
  <c r="BH39" i="9"/>
  <c r="BG39" i="9"/>
  <c r="AL39" i="5"/>
  <c r="P39" i="5"/>
  <c r="L39" i="3"/>
  <c r="H39" i="3"/>
  <c r="CN46" i="5" l="1"/>
  <c r="CL46" i="5"/>
  <c r="CH46" i="5"/>
  <c r="L24" i="3" l="1"/>
  <c r="H24" i="3"/>
  <c r="L8" i="3" l="1"/>
  <c r="H8" i="3"/>
  <c r="AU17" i="9"/>
  <c r="U12" i="7" l="1"/>
  <c r="BQ9" i="9" l="1"/>
  <c r="BP9" i="9"/>
  <c r="J70" i="14" l="1"/>
  <c r="I70" i="14"/>
  <c r="H70" i="14"/>
  <c r="G70" i="14"/>
  <c r="F70" i="14"/>
  <c r="E70" i="14"/>
  <c r="D70" i="14"/>
  <c r="C70" i="14"/>
  <c r="B70" i="14"/>
  <c r="Z70" i="13"/>
  <c r="X70" i="13"/>
  <c r="U70" i="13"/>
  <c r="T70" i="13"/>
  <c r="P70" i="13"/>
  <c r="L70" i="13"/>
  <c r="J70" i="13"/>
  <c r="H70" i="13"/>
  <c r="F70" i="13"/>
  <c r="Z69" i="13"/>
  <c r="X69" i="13"/>
  <c r="T69" i="13"/>
  <c r="P69" i="13"/>
  <c r="L69" i="13"/>
  <c r="J69" i="13"/>
  <c r="H69" i="13"/>
  <c r="F69" i="13"/>
  <c r="AA40" i="13"/>
  <c r="Y40" i="13"/>
  <c r="W40" i="13"/>
  <c r="U40" i="13"/>
  <c r="S40" i="13"/>
  <c r="Q40" i="13"/>
  <c r="O40" i="13"/>
  <c r="M40" i="13"/>
  <c r="K40" i="13"/>
  <c r="I40" i="13"/>
  <c r="G40" i="13"/>
  <c r="E40" i="13"/>
  <c r="C40" i="13"/>
  <c r="AC27" i="13"/>
  <c r="AA27" i="13"/>
  <c r="Y27" i="13"/>
  <c r="Q27" i="13"/>
  <c r="M27" i="13"/>
  <c r="K27" i="13"/>
  <c r="I27" i="13"/>
  <c r="G27" i="13"/>
  <c r="E27" i="13"/>
  <c r="C27" i="13"/>
  <c r="W22" i="13"/>
  <c r="W70" i="13" s="1"/>
  <c r="V22" i="13"/>
  <c r="V70" i="13" s="1"/>
  <c r="D13" i="13"/>
  <c r="D69" i="13" s="1"/>
  <c r="B13" i="13"/>
  <c r="B70" i="13" s="1"/>
  <c r="Z70" i="12"/>
  <c r="X70" i="12"/>
  <c r="V70" i="12"/>
  <c r="T70" i="12"/>
  <c r="R70" i="12"/>
  <c r="P70" i="12"/>
  <c r="N70" i="12"/>
  <c r="L70" i="12"/>
  <c r="J70" i="12"/>
  <c r="H70" i="12"/>
  <c r="F70" i="12"/>
  <c r="D70" i="12"/>
  <c r="B70" i="12"/>
  <c r="Z69" i="12"/>
  <c r="X69" i="12"/>
  <c r="V69" i="12"/>
  <c r="T69" i="12"/>
  <c r="R69" i="12"/>
  <c r="P69" i="12"/>
  <c r="N69" i="12"/>
  <c r="L69" i="12"/>
  <c r="J69" i="12"/>
  <c r="H69" i="12"/>
  <c r="F69" i="12"/>
  <c r="D69" i="12"/>
  <c r="B69" i="12"/>
  <c r="AE50" i="12"/>
  <c r="AD50" i="12"/>
  <c r="AA39" i="12"/>
  <c r="AA70" i="12" s="1"/>
  <c r="Y39" i="12"/>
  <c r="Y70" i="12" s="1"/>
  <c r="W39" i="12"/>
  <c r="W70" i="12" s="1"/>
  <c r="U39" i="12"/>
  <c r="U70" i="12" s="1"/>
  <c r="S39" i="12"/>
  <c r="S70" i="12" s="1"/>
  <c r="Q39" i="12"/>
  <c r="Q70" i="12" s="1"/>
  <c r="O39" i="12"/>
  <c r="O70" i="12" s="1"/>
  <c r="M39" i="12"/>
  <c r="M70" i="12" s="1"/>
  <c r="K39" i="12"/>
  <c r="K70" i="12" s="1"/>
  <c r="I39" i="12"/>
  <c r="I70" i="12" s="1"/>
  <c r="G39" i="12"/>
  <c r="G70" i="12" s="1"/>
  <c r="E39" i="12"/>
  <c r="E70" i="12" s="1"/>
  <c r="C39" i="12"/>
  <c r="C70" i="12" s="1"/>
  <c r="AE22" i="12"/>
  <c r="AD22" i="12"/>
  <c r="BB70" i="11"/>
  <c r="BA70" i="11"/>
  <c r="AZ70" i="11"/>
  <c r="AY70" i="11"/>
  <c r="AX70" i="11"/>
  <c r="AW70" i="11"/>
  <c r="AV70" i="11"/>
  <c r="AU70" i="11"/>
  <c r="AT70" i="11"/>
  <c r="AS70" i="11"/>
  <c r="AR70" i="11"/>
  <c r="AQ70" i="11"/>
  <c r="AP70" i="11"/>
  <c r="AO70" i="11"/>
  <c r="AN70" i="11"/>
  <c r="AM70" i="11"/>
  <c r="AL70" i="11"/>
  <c r="AK70" i="11"/>
  <c r="AJ70" i="11"/>
  <c r="AI70" i="11"/>
  <c r="AH70" i="11"/>
  <c r="AG70" i="11"/>
  <c r="AF70" i="11"/>
  <c r="AE70" i="11"/>
  <c r="AD70" i="11"/>
  <c r="AC70" i="11"/>
  <c r="AB70" i="11"/>
  <c r="Z70" i="11"/>
  <c r="Y70" i="11"/>
  <c r="W70" i="11"/>
  <c r="V70" i="11"/>
  <c r="U70" i="11"/>
  <c r="T70" i="11"/>
  <c r="S70" i="11"/>
  <c r="R70" i="11"/>
  <c r="Q70" i="11"/>
  <c r="P70" i="11"/>
  <c r="O70" i="11"/>
  <c r="N70" i="11"/>
  <c r="M70" i="11"/>
  <c r="L70" i="11"/>
  <c r="K70" i="11"/>
  <c r="J70" i="11"/>
  <c r="I70" i="11"/>
  <c r="H70" i="11"/>
  <c r="G70" i="11"/>
  <c r="F70" i="11"/>
  <c r="E70" i="11"/>
  <c r="D70" i="11"/>
  <c r="C70" i="11"/>
  <c r="B70" i="11"/>
  <c r="BA69" i="11"/>
  <c r="AY69" i="11"/>
  <c r="AW69" i="11"/>
  <c r="AU69" i="11"/>
  <c r="AS69" i="11"/>
  <c r="AQ69" i="11"/>
  <c r="AO69" i="11"/>
  <c r="AM69" i="11"/>
  <c r="AK69" i="11"/>
  <c r="AI69" i="11"/>
  <c r="AG69" i="11"/>
  <c r="AE69" i="11"/>
  <c r="AC69" i="11"/>
  <c r="AB69" i="11"/>
  <c r="Z69" i="11"/>
  <c r="V69" i="11"/>
  <c r="T69" i="11"/>
  <c r="R69" i="11"/>
  <c r="P69" i="11"/>
  <c r="N69" i="11"/>
  <c r="L69" i="11"/>
  <c r="J69" i="11"/>
  <c r="H69" i="11"/>
  <c r="F69" i="11"/>
  <c r="D69" i="11"/>
  <c r="B69" i="11"/>
  <c r="BD50" i="11"/>
  <c r="BC50" i="11"/>
  <c r="AA40" i="11"/>
  <c r="AA69" i="11" s="1"/>
  <c r="BD22" i="11"/>
  <c r="X22" i="11"/>
  <c r="X70" i="11" s="1"/>
  <c r="Z70" i="10"/>
  <c r="Y70" i="10"/>
  <c r="X70" i="10"/>
  <c r="W70" i="10"/>
  <c r="U70" i="10"/>
  <c r="T70" i="10"/>
  <c r="R70" i="10"/>
  <c r="Q70" i="10"/>
  <c r="P70" i="10"/>
  <c r="O70" i="10"/>
  <c r="N70" i="10"/>
  <c r="M70" i="10"/>
  <c r="J70" i="10"/>
  <c r="I70" i="10"/>
  <c r="H70" i="10"/>
  <c r="G70" i="10"/>
  <c r="E70" i="10"/>
  <c r="C70" i="10"/>
  <c r="B70" i="10"/>
  <c r="Z69" i="10"/>
  <c r="Y69" i="10"/>
  <c r="X69" i="10"/>
  <c r="W69" i="10"/>
  <c r="O69" i="10"/>
  <c r="N69" i="10"/>
  <c r="M69" i="10"/>
  <c r="J69" i="10"/>
  <c r="I69" i="10"/>
  <c r="H69" i="10"/>
  <c r="G69" i="10"/>
  <c r="E69" i="10"/>
  <c r="C69" i="10"/>
  <c r="B69" i="10"/>
  <c r="K68" i="10"/>
  <c r="D68" i="10"/>
  <c r="F68" i="10" s="1"/>
  <c r="K65" i="10"/>
  <c r="D65" i="10"/>
  <c r="F65" i="10" s="1"/>
  <c r="K62" i="10"/>
  <c r="D62" i="10"/>
  <c r="F62" i="10" s="1"/>
  <c r="K57" i="10"/>
  <c r="D57" i="10"/>
  <c r="F57" i="10" s="1"/>
  <c r="K56" i="10"/>
  <c r="D56" i="10"/>
  <c r="F56" i="10" s="1"/>
  <c r="K55" i="10"/>
  <c r="D55" i="10"/>
  <c r="F55" i="10" s="1"/>
  <c r="K54" i="10"/>
  <c r="D54" i="10"/>
  <c r="F54" i="10" s="1"/>
  <c r="K52" i="10"/>
  <c r="D52" i="10"/>
  <c r="F52" i="10" s="1"/>
  <c r="D51" i="10"/>
  <c r="K50" i="10"/>
  <c r="D50" i="10"/>
  <c r="F50" i="10" s="1"/>
  <c r="K49" i="10"/>
  <c r="D49" i="10"/>
  <c r="F49" i="10" s="1"/>
  <c r="K48" i="10"/>
  <c r="D48" i="10"/>
  <c r="F48" i="10" s="1"/>
  <c r="K46" i="10"/>
  <c r="D46" i="10"/>
  <c r="F46" i="10" s="1"/>
  <c r="K44" i="10"/>
  <c r="D44" i="10"/>
  <c r="F44" i="10" s="1"/>
  <c r="K43" i="10"/>
  <c r="D43" i="10"/>
  <c r="F43" i="10" s="1"/>
  <c r="K42" i="10"/>
  <c r="D42" i="10"/>
  <c r="F42" i="10" s="1"/>
  <c r="K40" i="10"/>
  <c r="D40" i="10"/>
  <c r="F40" i="10" s="1"/>
  <c r="S40" i="10" s="1"/>
  <c r="S70" i="10" s="1"/>
  <c r="K39" i="10"/>
  <c r="D39" i="10"/>
  <c r="F39" i="10" s="1"/>
  <c r="K37" i="10"/>
  <c r="D37" i="10"/>
  <c r="F37" i="10" s="1"/>
  <c r="K36" i="10"/>
  <c r="D36" i="10"/>
  <c r="F36" i="10" s="1"/>
  <c r="K35" i="10"/>
  <c r="D35" i="10"/>
  <c r="F35" i="10" s="1"/>
  <c r="K34" i="10"/>
  <c r="D34" i="10"/>
  <c r="F34" i="10" s="1"/>
  <c r="K31" i="10"/>
  <c r="D31" i="10"/>
  <c r="F31" i="10" s="1"/>
  <c r="K29" i="10"/>
  <c r="D29" i="10"/>
  <c r="F29" i="10" s="1"/>
  <c r="K27" i="10"/>
  <c r="D27" i="10"/>
  <c r="F27" i="10" s="1"/>
  <c r="K25" i="10"/>
  <c r="D25" i="10"/>
  <c r="F25" i="10" s="1"/>
  <c r="V22" i="10"/>
  <c r="V70" i="10" s="1"/>
  <c r="K22" i="10"/>
  <c r="D22" i="10"/>
  <c r="F22" i="10" s="1"/>
  <c r="K20" i="10"/>
  <c r="D20" i="10"/>
  <c r="F20" i="10" s="1"/>
  <c r="K19" i="10"/>
  <c r="D19" i="10"/>
  <c r="F19" i="10" s="1"/>
  <c r="K18" i="10"/>
  <c r="D18" i="10"/>
  <c r="F18" i="10" s="1"/>
  <c r="K17" i="10"/>
  <c r="D17" i="10"/>
  <c r="F17" i="10" s="1"/>
  <c r="K16" i="10"/>
  <c r="D16" i="10"/>
  <c r="F16" i="10" s="1"/>
  <c r="K15" i="10"/>
  <c r="D15" i="10"/>
  <c r="F15" i="10" s="1"/>
  <c r="K14" i="10"/>
  <c r="D14" i="10"/>
  <c r="F14" i="10" s="1"/>
  <c r="K13" i="10"/>
  <c r="D13" i="10"/>
  <c r="F13" i="10" s="1"/>
  <c r="K10" i="10"/>
  <c r="D10" i="10"/>
  <c r="F10" i="10" s="1"/>
  <c r="K9" i="10"/>
  <c r="D9" i="10"/>
  <c r="F9" i="10" s="1"/>
  <c r="K8" i="10"/>
  <c r="D8" i="10"/>
  <c r="F8" i="10" s="1"/>
  <c r="DA70" i="9"/>
  <c r="CZ70" i="9"/>
  <c r="CY70" i="9"/>
  <c r="CX70" i="9"/>
  <c r="CW70" i="9"/>
  <c r="CT70" i="9"/>
  <c r="CQ70" i="9"/>
  <c r="CP70" i="9"/>
  <c r="CO70" i="9"/>
  <c r="CN70" i="9"/>
  <c r="CM70" i="9"/>
  <c r="CL70" i="9"/>
  <c r="CK70" i="9"/>
  <c r="CJ70" i="9"/>
  <c r="CI70" i="9"/>
  <c r="CH70" i="9"/>
  <c r="CG70" i="9"/>
  <c r="CF70" i="9"/>
  <c r="CA70" i="9"/>
  <c r="BZ70" i="9"/>
  <c r="BY70" i="9"/>
  <c r="BI70" i="9"/>
  <c r="BE70" i="9"/>
  <c r="BD70" i="9"/>
  <c r="BC70" i="9"/>
  <c r="BB70" i="9"/>
  <c r="BA70" i="9"/>
  <c r="AZ70" i="9"/>
  <c r="AY70" i="9"/>
  <c r="AW70" i="9"/>
  <c r="AV70" i="9"/>
  <c r="AR70" i="9"/>
  <c r="AQ70" i="9"/>
  <c r="AP70" i="9"/>
  <c r="AO70" i="9"/>
  <c r="AN70" i="9"/>
  <c r="AL70" i="9"/>
  <c r="AK70" i="9"/>
  <c r="AJ70" i="9"/>
  <c r="AI70" i="9"/>
  <c r="AH70" i="9"/>
  <c r="AF70" i="9"/>
  <c r="AE70" i="9"/>
  <c r="AD70" i="9"/>
  <c r="AC70" i="9"/>
  <c r="AB70" i="9"/>
  <c r="AA70" i="9"/>
  <c r="Z70" i="9"/>
  <c r="Y70" i="9"/>
  <c r="X70" i="9"/>
  <c r="W70" i="9"/>
  <c r="V70" i="9"/>
  <c r="U70" i="9"/>
  <c r="T70" i="9"/>
  <c r="S70" i="9"/>
  <c r="R70" i="9"/>
  <c r="Q70" i="9"/>
  <c r="P70" i="9"/>
  <c r="O70" i="9"/>
  <c r="N70" i="9"/>
  <c r="M70" i="9"/>
  <c r="L70" i="9"/>
  <c r="K70" i="9"/>
  <c r="J70" i="9"/>
  <c r="I70" i="9"/>
  <c r="G70" i="9"/>
  <c r="E70" i="9"/>
  <c r="D70" i="9"/>
  <c r="C70" i="9"/>
  <c r="B70" i="9"/>
  <c r="DA69" i="9"/>
  <c r="CZ69" i="9"/>
  <c r="CY69" i="9"/>
  <c r="CX69" i="9"/>
  <c r="CW69" i="9"/>
  <c r="CT69" i="9"/>
  <c r="CQ69" i="9"/>
  <c r="CP69" i="9"/>
  <c r="CO69" i="9"/>
  <c r="CN69" i="9"/>
  <c r="CM69" i="9"/>
  <c r="CL69" i="9"/>
  <c r="CK69" i="9"/>
  <c r="CJ69" i="9"/>
  <c r="CI69" i="9"/>
  <c r="CH69" i="9"/>
  <c r="CG69" i="9"/>
  <c r="CF69" i="9"/>
  <c r="CD69" i="9"/>
  <c r="CC69" i="9"/>
  <c r="CB69" i="9"/>
  <c r="CA69" i="9"/>
  <c r="BZ69" i="9"/>
  <c r="BY69" i="9"/>
  <c r="BX69" i="9"/>
  <c r="BW69" i="9"/>
  <c r="BV69" i="9"/>
  <c r="BJ69" i="9"/>
  <c r="BI69" i="9"/>
  <c r="BE69" i="9"/>
  <c r="BD69" i="9"/>
  <c r="BC69" i="9"/>
  <c r="BB69" i="9"/>
  <c r="BA69" i="9"/>
  <c r="AZ69" i="9"/>
  <c r="AY69" i="9"/>
  <c r="AW69" i="9"/>
  <c r="AV69" i="9"/>
  <c r="AS69" i="9"/>
  <c r="AR69" i="9"/>
  <c r="AQ69" i="9"/>
  <c r="AP69" i="9"/>
  <c r="AO69" i="9"/>
  <c r="AN69" i="9"/>
  <c r="AM69" i="9"/>
  <c r="AL69" i="9"/>
  <c r="AK69" i="9"/>
  <c r="AJ69" i="9"/>
  <c r="AI69" i="9"/>
  <c r="AH69" i="9"/>
  <c r="AG69" i="9"/>
  <c r="AF69" i="9"/>
  <c r="AE69" i="9"/>
  <c r="AD69" i="9"/>
  <c r="AC69" i="9"/>
  <c r="AB69" i="9"/>
  <c r="AA69" i="9"/>
  <c r="Z69" i="9"/>
  <c r="Y69" i="9"/>
  <c r="X69" i="9"/>
  <c r="W69" i="9"/>
  <c r="V69" i="9"/>
  <c r="U69" i="9"/>
  <c r="T69" i="9"/>
  <c r="S69" i="9"/>
  <c r="R69" i="9"/>
  <c r="Q69" i="9"/>
  <c r="P69" i="9"/>
  <c r="O69" i="9"/>
  <c r="N69" i="9"/>
  <c r="M69" i="9"/>
  <c r="L69" i="9"/>
  <c r="K69" i="9"/>
  <c r="J69" i="9"/>
  <c r="I69" i="9"/>
  <c r="G69" i="9"/>
  <c r="F69" i="9"/>
  <c r="E69" i="9"/>
  <c r="D69" i="9"/>
  <c r="C69" i="9"/>
  <c r="B69" i="9"/>
  <c r="BT58" i="9"/>
  <c r="BT69" i="9" s="1"/>
  <c r="BS58" i="9"/>
  <c r="BS70" i="9" s="1"/>
  <c r="AX69" i="9"/>
  <c r="CV49" i="9"/>
  <c r="CV70" i="9" s="1"/>
  <c r="CU49" i="9"/>
  <c r="CU69" i="9" s="1"/>
  <c r="CS43" i="9"/>
  <c r="AT69" i="9"/>
  <c r="AS70" i="9"/>
  <c r="BQ70" i="9"/>
  <c r="CS34" i="9"/>
  <c r="BM33" i="9"/>
  <c r="AU33" i="9"/>
  <c r="H19" i="9"/>
  <c r="H69" i="9" s="1"/>
  <c r="BQ69" i="9"/>
  <c r="BP70" i="9"/>
  <c r="BO9" i="9"/>
  <c r="BN9" i="9"/>
  <c r="BN70" i="9" s="1"/>
  <c r="BM9" i="9"/>
  <c r="BM69" i="9" s="1"/>
  <c r="BL9" i="9"/>
  <c r="BL69" i="9" s="1"/>
  <c r="BK9" i="9"/>
  <c r="BK69" i="9" s="1"/>
  <c r="BH9" i="9"/>
  <c r="BG9" i="9"/>
  <c r="BG69" i="9" s="1"/>
  <c r="AK70" i="8"/>
  <c r="AJ70" i="8"/>
  <c r="AI70" i="8"/>
  <c r="AH70" i="8"/>
  <c r="AG70" i="8"/>
  <c r="AF70" i="8"/>
  <c r="AE70" i="8"/>
  <c r="AA70" i="8"/>
  <c r="R70" i="8"/>
  <c r="P70" i="8"/>
  <c r="O70" i="8"/>
  <c r="N70" i="8"/>
  <c r="M70" i="8"/>
  <c r="L70" i="8"/>
  <c r="K70" i="8"/>
  <c r="I70" i="8"/>
  <c r="H70" i="8"/>
  <c r="F70" i="8"/>
  <c r="E70" i="8"/>
  <c r="D70" i="8"/>
  <c r="AK69" i="8"/>
  <c r="AJ69" i="8"/>
  <c r="AI69" i="8"/>
  <c r="AH69" i="8"/>
  <c r="AG69" i="8"/>
  <c r="AF69" i="8"/>
  <c r="AE69" i="8"/>
  <c r="AA69" i="8"/>
  <c r="T69" i="8"/>
  <c r="R69" i="8"/>
  <c r="N69" i="8"/>
  <c r="L69" i="8"/>
  <c r="K69" i="8"/>
  <c r="I69" i="8"/>
  <c r="H69" i="8"/>
  <c r="F69" i="8"/>
  <c r="E69" i="8"/>
  <c r="D69" i="8"/>
  <c r="AC66" i="8"/>
  <c r="AC56" i="8"/>
  <c r="AD55" i="8"/>
  <c r="AD70" i="8" s="1"/>
  <c r="AC53" i="8"/>
  <c r="AB53" i="8"/>
  <c r="C52" i="8"/>
  <c r="V49" i="8"/>
  <c r="AC47" i="8"/>
  <c r="AB47" i="8"/>
  <c r="AB69" i="8" s="1"/>
  <c r="Y47" i="8"/>
  <c r="Y70" i="8" s="1"/>
  <c r="X47" i="8"/>
  <c r="X70" i="8" s="1"/>
  <c r="W47" i="8"/>
  <c r="W70" i="8" s="1"/>
  <c r="U47" i="8"/>
  <c r="U70" i="8" s="1"/>
  <c r="S47" i="8"/>
  <c r="S70" i="8" s="1"/>
  <c r="V43" i="8"/>
  <c r="AC29" i="8"/>
  <c r="V25" i="8"/>
  <c r="V70" i="8" s="1"/>
  <c r="AC13" i="8"/>
  <c r="C10" i="8"/>
  <c r="C70" i="8" s="1"/>
  <c r="B10" i="8"/>
  <c r="B70" i="8" s="1"/>
  <c r="X70" i="7"/>
  <c r="T70" i="7"/>
  <c r="R70" i="7"/>
  <c r="P70" i="7"/>
  <c r="O70" i="7"/>
  <c r="N70" i="7"/>
  <c r="F70" i="7"/>
  <c r="B70" i="7"/>
  <c r="X69" i="7"/>
  <c r="W69" i="7"/>
  <c r="T69" i="7"/>
  <c r="R69" i="7"/>
  <c r="P69" i="7"/>
  <c r="N69" i="7"/>
  <c r="F69" i="7"/>
  <c r="B69" i="7"/>
  <c r="U34" i="7"/>
  <c r="U33" i="7"/>
  <c r="E33" i="7"/>
  <c r="G33" i="7" s="1"/>
  <c r="U27" i="7"/>
  <c r="S27" i="7"/>
  <c r="S70" i="7" s="1"/>
  <c r="Q27" i="7"/>
  <c r="Q70" i="7" s="1"/>
  <c r="H27" i="7"/>
  <c r="J27" i="7" s="1"/>
  <c r="C27" i="7"/>
  <c r="C70" i="7" s="1"/>
  <c r="E13" i="7"/>
  <c r="N70" i="6"/>
  <c r="M70" i="6"/>
  <c r="K70" i="6"/>
  <c r="J70" i="6"/>
  <c r="I70" i="6"/>
  <c r="G70" i="6"/>
  <c r="M69" i="6"/>
  <c r="K69" i="6"/>
  <c r="J69" i="6"/>
  <c r="I69" i="6"/>
  <c r="G69" i="6"/>
  <c r="L70" i="6"/>
  <c r="H70" i="6"/>
  <c r="D70" i="6"/>
  <c r="CT70" i="5"/>
  <c r="CS70" i="5"/>
  <c r="CR70" i="5"/>
  <c r="CQ70" i="5"/>
  <c r="CP70" i="5"/>
  <c r="CM70" i="5"/>
  <c r="CK70" i="5"/>
  <c r="CJ70" i="5"/>
  <c r="CI70" i="5"/>
  <c r="CG70" i="5"/>
  <c r="CF70" i="5"/>
  <c r="CE70" i="5"/>
  <c r="CD70" i="5"/>
  <c r="CA70" i="5"/>
  <c r="BZ70" i="5"/>
  <c r="BY70" i="5"/>
  <c r="BX70" i="5"/>
  <c r="BW70" i="5"/>
  <c r="BV70" i="5"/>
  <c r="BU70" i="5"/>
  <c r="BT70" i="5"/>
  <c r="BS70" i="5"/>
  <c r="BR70" i="5"/>
  <c r="BO70" i="5"/>
  <c r="BN70" i="5"/>
  <c r="BM70" i="5"/>
  <c r="BL70" i="5"/>
  <c r="BK70" i="5"/>
  <c r="BJ70" i="5"/>
  <c r="BI70" i="5"/>
  <c r="BH70" i="5"/>
  <c r="BG70" i="5"/>
  <c r="BF70" i="5"/>
  <c r="BE70" i="5"/>
  <c r="BD70" i="5"/>
  <c r="BC70" i="5"/>
  <c r="BB70" i="5"/>
  <c r="BA70" i="5"/>
  <c r="AZ70" i="5"/>
  <c r="AY70" i="5"/>
  <c r="AW70" i="5"/>
  <c r="AU70" i="5"/>
  <c r="AS70" i="5"/>
  <c r="AQ70" i="5"/>
  <c r="AO70" i="5"/>
  <c r="AN70" i="5"/>
  <c r="AJ70" i="5"/>
  <c r="AH70" i="5"/>
  <c r="AF70" i="5"/>
  <c r="AD70" i="5"/>
  <c r="AC70" i="5"/>
  <c r="AB70" i="5"/>
  <c r="Z70" i="5"/>
  <c r="Y70" i="5"/>
  <c r="X70" i="5"/>
  <c r="W70" i="5"/>
  <c r="V70" i="5"/>
  <c r="U70" i="5"/>
  <c r="T70" i="5"/>
  <c r="S70" i="5"/>
  <c r="R70" i="5"/>
  <c r="Q70" i="5"/>
  <c r="P70" i="5"/>
  <c r="O70" i="5"/>
  <c r="N70" i="5"/>
  <c r="M70" i="5"/>
  <c r="L70" i="5"/>
  <c r="K70" i="5"/>
  <c r="J70" i="5"/>
  <c r="I70" i="5"/>
  <c r="H70" i="5"/>
  <c r="G70" i="5"/>
  <c r="F70" i="5"/>
  <c r="D70" i="5"/>
  <c r="C70" i="5"/>
  <c r="B70" i="5"/>
  <c r="CT69" i="5"/>
  <c r="CS69" i="5"/>
  <c r="CR69" i="5"/>
  <c r="CQ69" i="5"/>
  <c r="CP69" i="5"/>
  <c r="CM69" i="5"/>
  <c r="CK69" i="5"/>
  <c r="CJ69" i="5"/>
  <c r="CI69" i="5"/>
  <c r="CG69" i="5"/>
  <c r="CF69" i="5"/>
  <c r="CE69" i="5"/>
  <c r="CD69" i="5"/>
  <c r="CA69" i="5"/>
  <c r="BZ69" i="5"/>
  <c r="BY69" i="5"/>
  <c r="BX69" i="5"/>
  <c r="BW69" i="5"/>
  <c r="BV69" i="5"/>
  <c r="BU69" i="5"/>
  <c r="BT69" i="5"/>
  <c r="BS69" i="5"/>
  <c r="BR69" i="5"/>
  <c r="BO69" i="5"/>
  <c r="BN69" i="5"/>
  <c r="BM69" i="5"/>
  <c r="BL69" i="5"/>
  <c r="BK69" i="5"/>
  <c r="BJ69" i="5"/>
  <c r="BI69" i="5"/>
  <c r="BH69" i="5"/>
  <c r="BG69" i="5"/>
  <c r="BF69" i="5"/>
  <c r="BE69" i="5"/>
  <c r="BD69" i="5"/>
  <c r="BC69" i="5"/>
  <c r="BB69" i="5"/>
  <c r="BA69" i="5"/>
  <c r="AZ69" i="5"/>
  <c r="AY69" i="5"/>
  <c r="AW69" i="5"/>
  <c r="AU69" i="5"/>
  <c r="AS69" i="5"/>
  <c r="AQ69" i="5"/>
  <c r="AJ69" i="5"/>
  <c r="AH69" i="5"/>
  <c r="AF69" i="5"/>
  <c r="AD69" i="5"/>
  <c r="AC69" i="5"/>
  <c r="AB69" i="5"/>
  <c r="Z69" i="5"/>
  <c r="Y69" i="5"/>
  <c r="X69" i="5"/>
  <c r="W69" i="5"/>
  <c r="V69" i="5"/>
  <c r="U69" i="5"/>
  <c r="T69" i="5"/>
  <c r="S69" i="5"/>
  <c r="R69" i="5"/>
  <c r="Q69" i="5"/>
  <c r="O69" i="5"/>
  <c r="N69" i="5"/>
  <c r="M69" i="5"/>
  <c r="L69" i="5"/>
  <c r="K69" i="5"/>
  <c r="J69" i="5"/>
  <c r="I69" i="5"/>
  <c r="H69" i="5"/>
  <c r="G69" i="5"/>
  <c r="F69" i="5"/>
  <c r="D69" i="5"/>
  <c r="B69" i="5"/>
  <c r="CB58" i="5"/>
  <c r="CB70" i="5" s="1"/>
  <c r="AM53" i="5"/>
  <c r="AE43" i="5"/>
  <c r="AE70" i="5" s="1"/>
  <c r="P69" i="5"/>
  <c r="AM36" i="5"/>
  <c r="AL36" i="5"/>
  <c r="AK36" i="5"/>
  <c r="AI36" i="5"/>
  <c r="AL29" i="5"/>
  <c r="AK29" i="5"/>
  <c r="AI29" i="5"/>
  <c r="CH19" i="5"/>
  <c r="BQ19" i="5"/>
  <c r="BQ69" i="5" s="1"/>
  <c r="BP19" i="5"/>
  <c r="BP70" i="5" s="1"/>
  <c r="CH18" i="5"/>
  <c r="CN10" i="5"/>
  <c r="CN69" i="5" s="1"/>
  <c r="CL10" i="5"/>
  <c r="CL69" i="5" s="1"/>
  <c r="CH10" i="5"/>
  <c r="AL9" i="5"/>
  <c r="AK9" i="5"/>
  <c r="AK70" i="5" s="1"/>
  <c r="AI9" i="5"/>
  <c r="I70" i="4"/>
  <c r="H70" i="4"/>
  <c r="G70" i="4"/>
  <c r="F70" i="4"/>
  <c r="D70" i="4"/>
  <c r="B70" i="4"/>
  <c r="D69" i="4"/>
  <c r="B69" i="4"/>
  <c r="K52" i="4"/>
  <c r="K70" i="4" s="1"/>
  <c r="J52" i="4"/>
  <c r="J70" i="4" s="1"/>
  <c r="E52" i="4"/>
  <c r="C52" i="4"/>
  <c r="E46" i="4"/>
  <c r="C46" i="4"/>
  <c r="E39" i="4"/>
  <c r="C39" i="4"/>
  <c r="AJ70" i="3"/>
  <c r="AI70" i="3"/>
  <c r="AG70" i="3"/>
  <c r="AF70" i="3"/>
  <c r="Z70" i="3"/>
  <c r="Y70" i="3"/>
  <c r="U70" i="3"/>
  <c r="T70" i="3"/>
  <c r="Q70" i="3"/>
  <c r="O70" i="3"/>
  <c r="N70" i="3"/>
  <c r="M70" i="3"/>
  <c r="K70" i="3"/>
  <c r="J70" i="3"/>
  <c r="I70" i="3"/>
  <c r="C70" i="3"/>
  <c r="B70" i="3"/>
  <c r="AJ69" i="3"/>
  <c r="AI69" i="3"/>
  <c r="AG69" i="3"/>
  <c r="AF69" i="3"/>
  <c r="Z69" i="3"/>
  <c r="Y69" i="3"/>
  <c r="X69" i="3"/>
  <c r="U69" i="3"/>
  <c r="T69" i="3"/>
  <c r="Q69" i="3"/>
  <c r="O69" i="3"/>
  <c r="N69" i="3"/>
  <c r="M69" i="3"/>
  <c r="J69" i="3"/>
  <c r="I69" i="3"/>
  <c r="C69" i="3"/>
  <c r="B69" i="3"/>
  <c r="L68" i="3"/>
  <c r="H68" i="3"/>
  <c r="L66" i="3"/>
  <c r="H66" i="3"/>
  <c r="L65" i="3"/>
  <c r="H65" i="3"/>
  <c r="L62" i="3"/>
  <c r="AE61" i="3"/>
  <c r="P61" i="3"/>
  <c r="L61" i="3"/>
  <c r="H61" i="3"/>
  <c r="D61" i="3"/>
  <c r="L57" i="3"/>
  <c r="H57" i="3"/>
  <c r="L56" i="3"/>
  <c r="H56" i="3"/>
  <c r="L55" i="3"/>
  <c r="H55" i="3"/>
  <c r="P52" i="3"/>
  <c r="L52" i="3"/>
  <c r="H52" i="3"/>
  <c r="G52" i="3"/>
  <c r="F52" i="3"/>
  <c r="E52" i="3"/>
  <c r="D52" i="3"/>
  <c r="L49" i="3"/>
  <c r="H49" i="3"/>
  <c r="L46" i="3"/>
  <c r="H46" i="3"/>
  <c r="L44" i="3"/>
  <c r="H44" i="3"/>
  <c r="L42" i="3"/>
  <c r="H42" i="3"/>
  <c r="L38" i="3"/>
  <c r="L37" i="3"/>
  <c r="H37" i="3"/>
  <c r="L36" i="3"/>
  <c r="H36" i="3"/>
  <c r="L34" i="3"/>
  <c r="H34" i="3"/>
  <c r="L33" i="3"/>
  <c r="H33" i="3"/>
  <c r="L31" i="3"/>
  <c r="H31" i="3"/>
  <c r="L29" i="3"/>
  <c r="H29" i="3"/>
  <c r="AH27" i="3"/>
  <c r="AH70" i="3" s="1"/>
  <c r="AE27" i="3"/>
  <c r="W27" i="3"/>
  <c r="V27" i="3"/>
  <c r="R27" i="3"/>
  <c r="R70" i="3" s="1"/>
  <c r="P27" i="3"/>
  <c r="L27" i="3"/>
  <c r="H27" i="3"/>
  <c r="D27" i="3"/>
  <c r="L25" i="3"/>
  <c r="H25" i="3"/>
  <c r="L21" i="3"/>
  <c r="H21" i="3"/>
  <c r="L20" i="3"/>
  <c r="H20" i="3"/>
  <c r="L19" i="3"/>
  <c r="H19" i="3"/>
  <c r="L18" i="3"/>
  <c r="H18" i="3"/>
  <c r="L17" i="3"/>
  <c r="H17" i="3"/>
  <c r="L16" i="3"/>
  <c r="H16" i="3"/>
  <c r="L15" i="3"/>
  <c r="H15" i="3"/>
  <c r="L14" i="3"/>
  <c r="H14" i="3"/>
  <c r="L13" i="3"/>
  <c r="AE12" i="3"/>
  <c r="P12" i="3"/>
  <c r="L12" i="3"/>
  <c r="H12" i="3"/>
  <c r="G12" i="3"/>
  <c r="F12" i="3"/>
  <c r="E12" i="3"/>
  <c r="D12" i="3"/>
  <c r="P10" i="3"/>
  <c r="L10" i="3"/>
  <c r="H10" i="3"/>
  <c r="G10" i="3"/>
  <c r="F10" i="3"/>
  <c r="E10" i="3"/>
  <c r="E70" i="3" s="1"/>
  <c r="D10" i="3"/>
  <c r="AE9" i="3"/>
  <c r="Y70" i="13" l="1"/>
  <c r="AL69" i="5"/>
  <c r="H70" i="3"/>
  <c r="L70" i="3"/>
  <c r="AB22" i="13"/>
  <c r="AB69" i="13" s="1"/>
  <c r="G70" i="13"/>
  <c r="E70" i="4"/>
  <c r="AD70" i="12"/>
  <c r="C69" i="7"/>
  <c r="C70" i="4"/>
  <c r="Q70" i="13"/>
  <c r="D70" i="13"/>
  <c r="V69" i="10"/>
  <c r="H69" i="7"/>
  <c r="AC55" i="8"/>
  <c r="AC70" i="8" s="1"/>
  <c r="B69" i="8"/>
  <c r="AD69" i="8"/>
  <c r="AD69" i="12"/>
  <c r="BL70" i="9"/>
  <c r="U70" i="7"/>
  <c r="C69" i="8"/>
  <c r="AB70" i="8"/>
  <c r="D69" i="10"/>
  <c r="BC22" i="11"/>
  <c r="C70" i="13"/>
  <c r="K70" i="13"/>
  <c r="AA70" i="13"/>
  <c r="CH69" i="5"/>
  <c r="AI70" i="5"/>
  <c r="AM70" i="5"/>
  <c r="CN70" i="5"/>
  <c r="U69" i="7"/>
  <c r="BN69" i="9"/>
  <c r="E70" i="13"/>
  <c r="M70" i="13"/>
  <c r="I70" i="13"/>
  <c r="F70" i="3"/>
  <c r="P70" i="3"/>
  <c r="AE70" i="3"/>
  <c r="G70" i="3"/>
  <c r="D70" i="3"/>
  <c r="BS69" i="9"/>
  <c r="BO69" i="9"/>
  <c r="AU70" i="9"/>
  <c r="AX70" i="9"/>
  <c r="BG70" i="9"/>
  <c r="CU70" i="9"/>
  <c r="BH70" i="9"/>
  <c r="K69" i="10"/>
  <c r="F70" i="6"/>
  <c r="J69" i="7"/>
  <c r="J70" i="7"/>
  <c r="F69" i="10"/>
  <c r="H69" i="3"/>
  <c r="AL70" i="5"/>
  <c r="BP69" i="5"/>
  <c r="CB69" i="5"/>
  <c r="BQ70" i="5"/>
  <c r="CH70" i="5"/>
  <c r="CL70" i="5"/>
  <c r="E69" i="6"/>
  <c r="E70" i="6"/>
  <c r="D27" i="7"/>
  <c r="I33" i="7"/>
  <c r="Q69" i="7"/>
  <c r="H70" i="7"/>
  <c r="CS49" i="9"/>
  <c r="CS69" i="9" s="1"/>
  <c r="AU69" i="9"/>
  <c r="BH69" i="9"/>
  <c r="BP69" i="9"/>
  <c r="CV69" i="9"/>
  <c r="BO70" i="9"/>
  <c r="BT70" i="9"/>
  <c r="F70" i="10"/>
  <c r="AA70" i="11"/>
  <c r="AC22" i="13"/>
  <c r="B69" i="13"/>
  <c r="V69" i="13"/>
  <c r="D70" i="10"/>
  <c r="L69" i="3"/>
  <c r="F69" i="6"/>
  <c r="E27" i="7"/>
  <c r="G27" i="7" s="1"/>
  <c r="G70" i="7" s="1"/>
  <c r="K33" i="7"/>
  <c r="BK70" i="9"/>
  <c r="K70" i="10"/>
  <c r="X69" i="11"/>
  <c r="AT70" i="9"/>
  <c r="D69" i="6"/>
  <c r="H69" i="6"/>
  <c r="L69" i="6"/>
  <c r="AB70" i="13" l="1"/>
  <c r="AC69" i="8"/>
  <c r="K27" i="7"/>
  <c r="BC70" i="11"/>
  <c r="BC69" i="11"/>
  <c r="E70" i="7"/>
  <c r="C70" i="6"/>
  <c r="B70" i="6"/>
  <c r="B69" i="6"/>
  <c r="K70" i="7"/>
  <c r="E69" i="7"/>
  <c r="CS70" i="9"/>
  <c r="I27" i="7"/>
  <c r="I70" i="7" s="1"/>
  <c r="C69" i="6"/>
  <c r="D69" i="7"/>
  <c r="D70" i="7"/>
</calcChain>
</file>

<file path=xl/sharedStrings.xml><?xml version="1.0" encoding="utf-8"?>
<sst xmlns="http://schemas.openxmlformats.org/spreadsheetml/2006/main" count="5510" uniqueCount="864">
  <si>
    <t>都　市　要　覧</t>
    <rPh sb="0" eb="1">
      <t>ト</t>
    </rPh>
    <rPh sb="2" eb="3">
      <t>シ</t>
    </rPh>
    <rPh sb="4" eb="5">
      <t>ヨウ</t>
    </rPh>
    <rPh sb="6" eb="7">
      <t>ラン</t>
    </rPh>
    <phoneticPr fontId="2"/>
  </si>
  <si>
    <t>（令和2年度）</t>
    <rPh sb="1" eb="3">
      <t>レイワ</t>
    </rPh>
    <rPh sb="4" eb="6">
      <t>ネンド</t>
    </rPh>
    <rPh sb="5" eb="6">
      <t>ドヘイネンド</t>
    </rPh>
    <phoneticPr fontId="2"/>
  </si>
  <si>
    <t>中核市市長会</t>
    <rPh sb="0" eb="2">
      <t>チュウカク</t>
    </rPh>
    <rPh sb="2" eb="3">
      <t>シ</t>
    </rPh>
    <rPh sb="3" eb="6">
      <t>シチョウカイ</t>
    </rPh>
    <phoneticPr fontId="2"/>
  </si>
  <si>
    <t>都市要覧の指標記入要領</t>
    <rPh sb="0" eb="4">
      <t>トシヨウラン</t>
    </rPh>
    <rPh sb="5" eb="7">
      <t>シヒョウ</t>
    </rPh>
    <rPh sb="7" eb="9">
      <t>キニュウ</t>
    </rPh>
    <rPh sb="9" eb="11">
      <t>ヨウリョウ</t>
    </rPh>
    <phoneticPr fontId="2"/>
  </si>
  <si>
    <t>■指標の記入に当たって</t>
    <rPh sb="1" eb="3">
      <t>シヒョウ</t>
    </rPh>
    <rPh sb="4" eb="6">
      <t>キニュウ</t>
    </rPh>
    <rPh sb="7" eb="8">
      <t>ア</t>
    </rPh>
    <phoneticPr fontId="2"/>
  </si>
  <si>
    <r>
      <t>・　基準日は、原則として</t>
    </r>
    <r>
      <rPr>
        <sz val="11"/>
        <rFont val="ＭＳ Ｐゴシック"/>
        <family val="3"/>
        <charset val="128"/>
      </rPr>
      <t>令和2年4月1日</t>
    </r>
    <rPh sb="2" eb="5">
      <t>キジュンビ</t>
    </rPh>
    <rPh sb="7" eb="9">
      <t>ゲンソク</t>
    </rPh>
    <rPh sb="12" eb="14">
      <t>レイワ</t>
    </rPh>
    <rPh sb="15" eb="16">
      <t>ネン</t>
    </rPh>
    <rPh sb="17" eb="18">
      <t>ガツ</t>
    </rPh>
    <rPh sb="19" eb="20">
      <t>ヒ</t>
    </rPh>
    <phoneticPr fontId="2"/>
  </si>
  <si>
    <t>・　基準日のデータがない場合は、直近のデータを記入し、その基準日をシート内の備考欄に併記</t>
    <rPh sb="2" eb="5">
      <t>キジュンビ</t>
    </rPh>
    <rPh sb="12" eb="14">
      <t>バアイ</t>
    </rPh>
    <rPh sb="16" eb="17">
      <t>チョク</t>
    </rPh>
    <rPh sb="17" eb="18">
      <t>キン</t>
    </rPh>
    <rPh sb="23" eb="25">
      <t>キニュウ</t>
    </rPh>
    <rPh sb="29" eb="32">
      <t>キジュンビ</t>
    </rPh>
    <rPh sb="36" eb="37">
      <t>ナイ</t>
    </rPh>
    <rPh sb="38" eb="40">
      <t>ビコウ</t>
    </rPh>
    <rPh sb="40" eb="41">
      <t>ラン</t>
    </rPh>
    <rPh sb="42" eb="44">
      <t>ヘイキ</t>
    </rPh>
    <phoneticPr fontId="2"/>
  </si>
  <si>
    <t>・　指標について該当なしは「－」(皆無を含む)、単位未満は「０」、不詳は「...」と記入</t>
    <rPh sb="33" eb="35">
      <t>フショウ</t>
    </rPh>
    <rPh sb="42" eb="44">
      <t>キニュウ</t>
    </rPh>
    <phoneticPr fontId="2"/>
  </si>
  <si>
    <t>　  各指標における記号の説明は次のとおり。</t>
    <rPh sb="3" eb="4">
      <t>カク</t>
    </rPh>
    <rPh sb="4" eb="6">
      <t>シヒョウ</t>
    </rPh>
    <rPh sb="10" eb="12">
      <t>キゴウ</t>
    </rPh>
    <rPh sb="13" eb="15">
      <t>セツメイ</t>
    </rPh>
    <rPh sb="16" eb="17">
      <t>ツギ</t>
    </rPh>
    <phoneticPr fontId="2"/>
  </si>
  <si>
    <t>　　　　「0」   　該当する数値は存在するが、単位に満たない場合</t>
    <rPh sb="16" eb="17">
      <t>アタイ</t>
    </rPh>
    <rPh sb="31" eb="33">
      <t>バアイ</t>
    </rPh>
    <phoneticPr fontId="2"/>
  </si>
  <si>
    <t>　　　　「-」     定義上、該当する数値が存在しない場合（皆無を含む）</t>
    <rPh sb="21" eb="22">
      <t>アタイ</t>
    </rPh>
    <phoneticPr fontId="2"/>
  </si>
  <si>
    <t>　　　　「...」    不詳、数値が得られない（計測不明の）場合</t>
    <phoneticPr fontId="2"/>
  </si>
  <si>
    <t>項　　目</t>
    <rPh sb="0" eb="1">
      <t>コウ</t>
    </rPh>
    <rPh sb="3" eb="4">
      <t>メ</t>
    </rPh>
    <phoneticPr fontId="2"/>
  </si>
  <si>
    <t>指　　　　　　標</t>
    <rPh sb="0" eb="1">
      <t>ユビ</t>
    </rPh>
    <rPh sb="7" eb="8">
      <t>ヒョウ</t>
    </rPh>
    <phoneticPr fontId="2"/>
  </si>
  <si>
    <t>記　　入　　要　　領</t>
    <rPh sb="0" eb="1">
      <t>キ</t>
    </rPh>
    <rPh sb="3" eb="4">
      <t>イリ</t>
    </rPh>
    <rPh sb="6" eb="7">
      <t>ヨウ</t>
    </rPh>
    <rPh sb="9" eb="10">
      <t>リョウ</t>
    </rPh>
    <phoneticPr fontId="2"/>
  </si>
  <si>
    <t>１　市勢</t>
    <rPh sb="2" eb="3">
      <t>シ</t>
    </rPh>
    <rPh sb="3" eb="4">
      <t>セイ</t>
    </rPh>
    <phoneticPr fontId="2"/>
  </si>
  <si>
    <t>人口</t>
    <rPh sb="0" eb="2">
      <t>ジンコウ</t>
    </rPh>
    <phoneticPr fontId="2"/>
  </si>
  <si>
    <r>
      <t>・住民基本台帳人口、世帯数は</t>
    </r>
    <r>
      <rPr>
        <sz val="11"/>
        <rFont val="ＭＳ Ｐゴシック"/>
        <family val="3"/>
        <charset val="128"/>
      </rPr>
      <t>令和2年3月31日現在を記入
・昼夜間人口比率は、平成27年国勢調査における昼間人口を夜間人口で除して得た数を記入
・人口密度は、令和2年3月31日現在の住民基本台帳人口を行政区域面積で除した数を記入
・人口集中地区は、平成27年国勢調査より記入
・その他は令和2年4月1日現在を記入</t>
    </r>
    <phoneticPr fontId="2"/>
  </si>
  <si>
    <t>年少・生産・65歳以上人口比率</t>
    <rPh sb="0" eb="2">
      <t>ネンショウ</t>
    </rPh>
    <rPh sb="3" eb="5">
      <t>セイサン</t>
    </rPh>
    <rPh sb="8" eb="9">
      <t>サイ</t>
    </rPh>
    <rPh sb="9" eb="11">
      <t>イジョウ</t>
    </rPh>
    <rPh sb="11" eb="13">
      <t>ジンコウ</t>
    </rPh>
    <rPh sb="13" eb="15">
      <t>ヒリツ</t>
    </rPh>
    <phoneticPr fontId="2"/>
  </si>
  <si>
    <r>
      <t>世帯数・</t>
    </r>
    <r>
      <rPr>
        <sz val="11"/>
        <rFont val="ＭＳ Ｐゴシック"/>
        <family val="3"/>
        <charset val="128"/>
      </rPr>
      <t>昼夜間人口比率・行政区域面積・人口密度・人口集中地区・姉妹友好都市数</t>
    </r>
    <rPh sb="0" eb="3">
      <t>セタイスウ</t>
    </rPh>
    <rPh sb="4" eb="6">
      <t>チュウヤ</t>
    </rPh>
    <rPh sb="6" eb="7">
      <t>カン</t>
    </rPh>
    <rPh sb="7" eb="9">
      <t>ジンコウ</t>
    </rPh>
    <rPh sb="9" eb="11">
      <t>ヒリツ</t>
    </rPh>
    <rPh sb="12" eb="14">
      <t>ギョウセイ</t>
    </rPh>
    <rPh sb="14" eb="16">
      <t>クイキ</t>
    </rPh>
    <rPh sb="16" eb="18">
      <t>メンセキ</t>
    </rPh>
    <rPh sb="19" eb="21">
      <t>ジンコウ</t>
    </rPh>
    <rPh sb="21" eb="23">
      <t>ミツド</t>
    </rPh>
    <rPh sb="24" eb="26">
      <t>ジンコウ</t>
    </rPh>
    <rPh sb="26" eb="28">
      <t>シュウチュウ</t>
    </rPh>
    <rPh sb="28" eb="30">
      <t>チク</t>
    </rPh>
    <phoneticPr fontId="2"/>
  </si>
  <si>
    <t>自然動態・社会動態</t>
    <rPh sb="0" eb="2">
      <t>シゼン</t>
    </rPh>
    <rPh sb="2" eb="4">
      <t>ドウタイ</t>
    </rPh>
    <rPh sb="5" eb="7">
      <t>シャカイ</t>
    </rPh>
    <rPh sb="7" eb="9">
      <t>ドウタイ</t>
    </rPh>
    <phoneticPr fontId="2"/>
  </si>
  <si>
    <r>
      <t>・</t>
    </r>
    <r>
      <rPr>
        <sz val="11"/>
        <rFont val="ＭＳ Ｐゴシック"/>
        <family val="3"/>
        <charset val="128"/>
      </rPr>
      <t>平成31年1月1日～令和元年12月31日を記入</t>
    </r>
    <rPh sb="1" eb="3">
      <t>ヘイセイ</t>
    </rPh>
    <rPh sb="5" eb="6">
      <t>ネン</t>
    </rPh>
    <rPh sb="6" eb="7">
      <t>ヘイネン</t>
    </rPh>
    <rPh sb="7" eb="8">
      <t>ガツ</t>
    </rPh>
    <rPh sb="9" eb="10">
      <t>ヒ</t>
    </rPh>
    <rPh sb="11" eb="13">
      <t>レイワ</t>
    </rPh>
    <rPh sb="13" eb="15">
      <t>ガンネン</t>
    </rPh>
    <rPh sb="17" eb="18">
      <t>ガツ</t>
    </rPh>
    <rPh sb="20" eb="21">
      <t>ニチ</t>
    </rPh>
    <rPh sb="22" eb="24">
      <t>キニュウ</t>
    </rPh>
    <phoneticPr fontId="2"/>
  </si>
  <si>
    <t>その他</t>
    <rPh sb="2" eb="3">
      <t>タ</t>
    </rPh>
    <phoneticPr fontId="2"/>
  </si>
  <si>
    <t>・自治会加入率=自治会加入世帯数/推計世帯数　で算出</t>
    <rPh sb="24" eb="26">
      <t>サンシュツ</t>
    </rPh>
    <phoneticPr fontId="2"/>
  </si>
  <si>
    <t>２　職員数及び
　職員給料等</t>
    <rPh sb="2" eb="5">
      <t>ショクインスウ</t>
    </rPh>
    <rPh sb="5" eb="6">
      <t>オヨ</t>
    </rPh>
    <phoneticPr fontId="2"/>
  </si>
  <si>
    <r>
      <t xml:space="preserve">職員総数
一般職員の職員数、平均年齢、
平均給料月額、ラスパイレス指数、
</t>
    </r>
    <r>
      <rPr>
        <sz val="11"/>
        <rFont val="ＭＳ Ｐゴシック"/>
        <family val="3"/>
        <charset val="128"/>
      </rPr>
      <t xml:space="preserve">審議会等の女性参画率、管理職に占める女性比率
</t>
    </r>
    <rPh sb="0" eb="2">
      <t>ショクイン</t>
    </rPh>
    <rPh sb="2" eb="4">
      <t>ソウスウ</t>
    </rPh>
    <rPh sb="5" eb="7">
      <t>イッパン</t>
    </rPh>
    <rPh sb="7" eb="9">
      <t>ショクイン</t>
    </rPh>
    <rPh sb="10" eb="12">
      <t>ショクイン</t>
    </rPh>
    <rPh sb="12" eb="13">
      <t>スウ</t>
    </rPh>
    <rPh sb="14" eb="16">
      <t>ヘイキン</t>
    </rPh>
    <rPh sb="16" eb="18">
      <t>ネンレイ</t>
    </rPh>
    <rPh sb="20" eb="22">
      <t>ヘイキン</t>
    </rPh>
    <rPh sb="22" eb="24">
      <t>キュウリョウ</t>
    </rPh>
    <rPh sb="24" eb="25">
      <t>ツキ</t>
    </rPh>
    <rPh sb="25" eb="26">
      <t>ガク</t>
    </rPh>
    <rPh sb="33" eb="35">
      <t>シスウ</t>
    </rPh>
    <rPh sb="37" eb="40">
      <t>シンギカイ</t>
    </rPh>
    <rPh sb="40" eb="41">
      <t>トウ</t>
    </rPh>
    <rPh sb="42" eb="44">
      <t>ジョセイ</t>
    </rPh>
    <rPh sb="44" eb="46">
      <t>サンカク</t>
    </rPh>
    <rPh sb="46" eb="47">
      <t>リツ</t>
    </rPh>
    <rPh sb="48" eb="50">
      <t>カンリ</t>
    </rPh>
    <rPh sb="50" eb="51">
      <t>ショク</t>
    </rPh>
    <rPh sb="52" eb="53">
      <t>シ</t>
    </rPh>
    <rPh sb="55" eb="57">
      <t>ジョセイ</t>
    </rPh>
    <rPh sb="57" eb="59">
      <t>ヒリツ</t>
    </rPh>
    <phoneticPr fontId="2"/>
  </si>
  <si>
    <r>
      <t>・</t>
    </r>
    <r>
      <rPr>
        <sz val="11"/>
        <rFont val="ＭＳ Ｐゴシック"/>
        <family val="3"/>
        <charset val="128"/>
      </rPr>
      <t>令和2年地方公務員給与実態調査より記入
・市民千人当たり職員数は、令和2年3月31日現在住民基本台帳人口により算出
・審議会等の女性参画率は、内閣府男女共同参画局「地方公共団体における男女共同参画の形成又は女性に関する施策の推進状況(令和2年度)」において「地方自治法（第202条の3）に基づく審議会等における登用状況」として報告する数値
・管理職に占める女性比率は、内閣府男女共同参画局「地方公共団体における男女共同参画の形成又は女性に関する施策の推進状況(令和2年度)」において「市町村職員の管理職の在職状況」として報告する数値</t>
    </r>
    <phoneticPr fontId="2"/>
  </si>
  <si>
    <t>高齢者福祉施設等
（公立・私立を含む）</t>
    <rPh sb="0" eb="3">
      <t>コウレイシャ</t>
    </rPh>
    <rPh sb="3" eb="5">
      <t>フクシ</t>
    </rPh>
    <rPh sb="5" eb="7">
      <t>シセツ</t>
    </rPh>
    <rPh sb="7" eb="8">
      <t>トウ</t>
    </rPh>
    <phoneticPr fontId="2"/>
  </si>
  <si>
    <r>
      <t>・有料老人ホーム数は、</t>
    </r>
    <r>
      <rPr>
        <sz val="11"/>
        <rFont val="ＭＳ Ｐゴシック"/>
        <family val="3"/>
        <charset val="128"/>
      </rPr>
      <t>令和2年4月1日現在の老人福祉法第29条第１項に規定する有料老人ホームの数を記入
・指定介護サービス事業所数は、指定居宅サービス事業所、指定地域密着型サービス事業所、指定居宅介護支援事業所、指定介護予防サービス事業所、指定地域密着型介護予防サービス事業所、指定介護予防支援事業所、総合事業事業所の数を記入（施設みなしを含み、健康保険法の規定によるみなし指定の事業所を含まない）
※複数のサービスを行っている場合、サービス毎に事業所をカウント（例）短期入所生活介護・介護予防短期入所生活介護を一体的に運営している事業所は「2」とカウント
※有料老人ホームでカウントされている特定施設入居者生活介護等を含む</t>
    </r>
    <rPh sb="47" eb="48">
      <t>カズ</t>
    </rPh>
    <phoneticPr fontId="2"/>
  </si>
  <si>
    <t>介護保険</t>
    <rPh sb="0" eb="2">
      <t>カイゴ</t>
    </rPh>
    <rPh sb="2" eb="4">
      <t>ホケン</t>
    </rPh>
    <phoneticPr fontId="2"/>
  </si>
  <si>
    <r>
      <t>・第1号被保険者数は</t>
    </r>
    <r>
      <rPr>
        <sz val="11"/>
        <rFont val="ＭＳ Ｐゴシック"/>
        <family val="3"/>
        <charset val="128"/>
      </rPr>
      <t>令和2年4月事業月報により、要介護（要支援）認定者数は令和2年3月月報により、それぞれ令和2年3月末現在を記入
・保険給付費、保険料収納率は、令和元年度事業年報より記入
・地域包括支援センター数は、令和2年4月1日現在を記入</t>
    </r>
    <rPh sb="37" eb="39">
      <t>レイワ</t>
    </rPh>
    <rPh sb="40" eb="41">
      <t>ネン</t>
    </rPh>
    <rPh sb="42" eb="43">
      <t>ガツ</t>
    </rPh>
    <rPh sb="43" eb="45">
      <t>ゲッポウ</t>
    </rPh>
    <phoneticPr fontId="2"/>
  </si>
  <si>
    <t>国民健康保険</t>
    <rPh sb="0" eb="2">
      <t>コクミン</t>
    </rPh>
    <rPh sb="2" eb="4">
      <t>ケンコウ</t>
    </rPh>
    <rPh sb="4" eb="6">
      <t>ホケン</t>
    </rPh>
    <phoneticPr fontId="2"/>
  </si>
  <si>
    <r>
      <t>・</t>
    </r>
    <r>
      <rPr>
        <sz val="11"/>
        <rFont val="ＭＳ Ｐゴシック"/>
        <family val="3"/>
        <charset val="128"/>
      </rPr>
      <t>令和2年3月事業月報、令和元年度事業年報（年度末現在）より記入
・加入率は、令和2年3月31日現在住民基本台帳人口、世帯数で算出
・被保険者１人当たり費用額・徴収率（現年度）は、令和元年度事業年報より記入
・特定健康診査実施率および特定保健指導実施率は、令和元年度実施分法定報告値より記入</t>
    </r>
    <rPh sb="1" eb="3">
      <t>レイワ</t>
    </rPh>
    <rPh sb="12" eb="14">
      <t>レイワ</t>
    </rPh>
    <rPh sb="14" eb="15">
      <t>ガン</t>
    </rPh>
    <rPh sb="17" eb="19">
      <t>ジギョウ</t>
    </rPh>
    <rPh sb="19" eb="21">
      <t>ネンポウ</t>
    </rPh>
    <rPh sb="22" eb="25">
      <t>ネンドマツ</t>
    </rPh>
    <rPh sb="25" eb="27">
      <t>ゲンザイ</t>
    </rPh>
    <rPh sb="30" eb="32">
      <t>キニュウ</t>
    </rPh>
    <rPh sb="39" eb="41">
      <t>レイワ</t>
    </rPh>
    <rPh sb="50" eb="52">
      <t>ジュウミン</t>
    </rPh>
    <rPh sb="52" eb="54">
      <t>キホン</t>
    </rPh>
    <rPh sb="54" eb="56">
      <t>ダイチョウ</t>
    </rPh>
    <rPh sb="59" eb="62">
      <t>セタイスウ</t>
    </rPh>
    <phoneticPr fontId="2"/>
  </si>
  <si>
    <r>
      <t>保育所</t>
    </r>
    <r>
      <rPr>
        <sz val="11"/>
        <rFont val="ＭＳ Ｐゴシック"/>
        <family val="3"/>
        <charset val="128"/>
      </rPr>
      <t>等</t>
    </r>
    <rPh sb="0" eb="2">
      <t>ホイク</t>
    </rPh>
    <rPh sb="2" eb="3">
      <t>ジョ</t>
    </rPh>
    <rPh sb="3" eb="4">
      <t>トウ</t>
    </rPh>
    <phoneticPr fontId="2"/>
  </si>
  <si>
    <r>
      <rPr>
        <sz val="11"/>
        <rFont val="ＭＳ Ｐゴシック"/>
        <family val="3"/>
        <charset val="128"/>
      </rPr>
      <t>・子育てのための施設等利用給付の新2号支給認定者数には、「１号認定＋新２号認定」を含む
・支給認定者数（教育・保育給付）、支給人者数（施設等利用給付）の人口比については、
　1号・・・3～5歳児童数に占める割合を記入
　2号、新2号・・・3～5歳児童数に占める割合を記入
　3号・・・0～2歳児童数に占める割合を記入
・保育所入所待機児童数は、厚生労働省「保育所等利用待機児童数調査」で報告する数値（令和2年4月1日時点）
・地域子育て支援拠点事業の実施箇所数は、令和2年4月1日現在を記入</t>
    </r>
    <rPh sb="31" eb="33">
      <t>ニンテイ</t>
    </rPh>
    <rPh sb="37" eb="39">
      <t>ニンテイ</t>
    </rPh>
    <rPh sb="41" eb="42">
      <t>フク</t>
    </rPh>
    <rPh sb="76" eb="79">
      <t>ジンコウヒ</t>
    </rPh>
    <phoneticPr fontId="2"/>
  </si>
  <si>
    <t>医療機関(公・私立含む)</t>
    <rPh sb="0" eb="2">
      <t>イリョウ</t>
    </rPh>
    <rPh sb="2" eb="4">
      <t>キカン</t>
    </rPh>
    <phoneticPr fontId="2"/>
  </si>
  <si>
    <r>
      <t>・人口割合は、</t>
    </r>
    <r>
      <rPr>
        <sz val="11"/>
        <rFont val="ＭＳ Ｐゴシック"/>
        <family val="3"/>
        <charset val="128"/>
      </rPr>
      <t>令和2年3月31日現在住民基本台帳人口で除した数値
・医師・歯科医師数は平成30年医師・歯科医師・薬剤師統計より記入</t>
    </r>
    <rPh sb="7" eb="9">
      <t>レイワ</t>
    </rPh>
    <rPh sb="10" eb="11">
      <t>ネン</t>
    </rPh>
    <rPh sb="43" eb="45">
      <t>ヘイセイ</t>
    </rPh>
    <rPh sb="59" eb="61">
      <t>トウケイ</t>
    </rPh>
    <phoneticPr fontId="2"/>
  </si>
  <si>
    <t>障害福祉</t>
    <rPh sb="0" eb="2">
      <t>ショウガイ</t>
    </rPh>
    <rPh sb="2" eb="4">
      <t>フクシ</t>
    </rPh>
    <phoneticPr fontId="2"/>
  </si>
  <si>
    <t>・指定障害福祉サービス等事業所数、指定障害児通所支援事業所数は、令和元年社会福祉施設等調査より記入
・指定障害福祉サービス等事業所数は、居宅介護、重度訪問介護、同行援護、行動援護、療養介護、生活介護、重度障害者等包括支援、短期入所、共同生活援助、自立訓練（機能訓練）、自立訓練（生活訓練）、宿泊型自立訓練、就労移行支援、就労継続支援（A型）、就労継続支援（B型）、自立生活支援、就労定着支援、計画相談支援、地域移行支援、地域定着支援事業所の数を記入（複数のサービスを行っている場合、サービス毎に事業所をカウント）
※障害者支援施設の昼間実施サービス（生活介護、自立訓練、就労移行支援及び就労継続支援）を除く
・指定障害児通所支援事業所数は、児童発達支援、居宅訪問型児童発達支援、放課後等デイサービス、保育所等訪問支援、障害児相談支援事業所の数を記入（複数のサービスを行っている場合、サービス毎に事業所をカウント）
・手帳所持者数は、令和2年4月1日現在を記入</t>
    <phoneticPr fontId="2"/>
  </si>
  <si>
    <t>４　環境　</t>
    <rPh sb="2" eb="4">
      <t>カンキョウ</t>
    </rPh>
    <phoneticPr fontId="2"/>
  </si>
  <si>
    <t>総排出量、リサイクル率</t>
    <rPh sb="0" eb="1">
      <t>ソウ</t>
    </rPh>
    <rPh sb="1" eb="3">
      <t>ハイシュツ</t>
    </rPh>
    <rPh sb="3" eb="4">
      <t>リョウ</t>
    </rPh>
    <rPh sb="10" eb="11">
      <t>リツ</t>
    </rPh>
    <phoneticPr fontId="2"/>
  </si>
  <si>
    <t>・リサイクル率・・（〔直接資源化量+中間処理後再生利用量+集団回収量〕/〔ごみ処理量+集団回収量〕）×100</t>
    <phoneticPr fontId="2"/>
  </si>
  <si>
    <t>５　産業</t>
    <rPh sb="2" eb="4">
      <t>サンギョウ</t>
    </rPh>
    <phoneticPr fontId="2"/>
  </si>
  <si>
    <t>産業別事業所数</t>
    <rPh sb="0" eb="2">
      <t>サンギョウ</t>
    </rPh>
    <rPh sb="2" eb="3">
      <t>ベツ</t>
    </rPh>
    <rPh sb="3" eb="6">
      <t>ジギョウショ</t>
    </rPh>
    <rPh sb="6" eb="7">
      <t>スウ</t>
    </rPh>
    <phoneticPr fontId="2"/>
  </si>
  <si>
    <r>
      <t>産業別</t>
    </r>
    <r>
      <rPr>
        <sz val="11"/>
        <rFont val="ＭＳ Ｐゴシック"/>
        <family val="3"/>
        <charset val="128"/>
      </rPr>
      <t>従業者数</t>
    </r>
    <rPh sb="0" eb="2">
      <t>サンギョウ</t>
    </rPh>
    <rPh sb="2" eb="3">
      <t>ベツ</t>
    </rPh>
    <rPh sb="3" eb="4">
      <t>ジュウ</t>
    </rPh>
    <rPh sb="4" eb="7">
      <t>ギョウシャスウ</t>
    </rPh>
    <rPh sb="6" eb="7">
      <t>スウ</t>
    </rPh>
    <phoneticPr fontId="2"/>
  </si>
  <si>
    <t>農業</t>
    <rPh sb="0" eb="2">
      <t>ノウギョウ</t>
    </rPh>
    <phoneticPr fontId="2"/>
  </si>
  <si>
    <t>工業（事業所数）</t>
    <rPh sb="0" eb="2">
      <t>コウギョウ</t>
    </rPh>
    <rPh sb="3" eb="6">
      <t>ジギョウショ</t>
    </rPh>
    <rPh sb="6" eb="7">
      <t>スウ</t>
    </rPh>
    <phoneticPr fontId="2"/>
  </si>
  <si>
    <r>
      <t>・事業所数は</t>
    </r>
    <r>
      <rPr>
        <sz val="11"/>
        <rFont val="ＭＳ Ｐゴシック"/>
        <family val="3"/>
        <charset val="128"/>
      </rPr>
      <t>平成28年経済センサス活動調査（製造業・市区町村編）により記入
・事業所数の前回からの伸び率は、平成26年工業統計調査との比較により記入</t>
    </r>
  </si>
  <si>
    <t>工業（製造品出荷額等）</t>
    <rPh sb="0" eb="2">
      <t>コウギョウ</t>
    </rPh>
    <rPh sb="3" eb="6">
      <t>セイゾウヒン</t>
    </rPh>
    <rPh sb="6" eb="8">
      <t>シュッカ</t>
    </rPh>
    <rPh sb="8" eb="9">
      <t>ガク</t>
    </rPh>
    <rPh sb="9" eb="10">
      <t>トウ</t>
    </rPh>
    <phoneticPr fontId="2"/>
  </si>
  <si>
    <r>
      <t>・</t>
    </r>
    <r>
      <rPr>
        <sz val="11"/>
        <rFont val="ＭＳ Ｐゴシック"/>
        <family val="3"/>
        <charset val="128"/>
      </rPr>
      <t>平成28年経済センサス活動調査（製造業・市区町村編）により記入</t>
    </r>
    <phoneticPr fontId="2"/>
  </si>
  <si>
    <t>卸売業・小売業</t>
    <rPh sb="0" eb="2">
      <t>オロシウリ</t>
    </rPh>
    <rPh sb="2" eb="3">
      <t>ギョウ</t>
    </rPh>
    <rPh sb="4" eb="7">
      <t>コウリギョウ</t>
    </rPh>
    <phoneticPr fontId="2"/>
  </si>
  <si>
    <t>・平成28年経済センサス活動調査により記入</t>
    <phoneticPr fontId="2"/>
  </si>
  <si>
    <t>観光</t>
    <rPh sb="0" eb="2">
      <t>カンコウ</t>
    </rPh>
    <phoneticPr fontId="2"/>
  </si>
  <si>
    <r>
      <t>・観光客入込み客数は、</t>
    </r>
    <r>
      <rPr>
        <sz val="11"/>
        <rFont val="ＭＳ Ｐゴシック"/>
        <family val="3"/>
        <charset val="128"/>
      </rPr>
      <t>令和元年中の延べ人数（宿泊と日帰り両方含む）
・ホテル・旅館客室数は、厚生労働省「衛生行政報告例」で報告する数値（令和2年3月31日現在）</t>
    </r>
    <rPh sb="11" eb="13">
      <t>レイワ</t>
    </rPh>
    <rPh sb="13" eb="14">
      <t>ガン</t>
    </rPh>
    <rPh sb="14" eb="15">
      <t>ネン</t>
    </rPh>
    <rPh sb="68" eb="70">
      <t>レイワ</t>
    </rPh>
    <rPh sb="71" eb="72">
      <t>ネン</t>
    </rPh>
    <phoneticPr fontId="2"/>
  </si>
  <si>
    <t>６　都市</t>
    <rPh sb="2" eb="4">
      <t>トシ</t>
    </rPh>
    <phoneticPr fontId="2"/>
  </si>
  <si>
    <t>道路・公園</t>
    <rPh sb="0" eb="2">
      <t>ドウロ</t>
    </rPh>
    <rPh sb="3" eb="5">
      <t>コウエン</t>
    </rPh>
    <phoneticPr fontId="2"/>
  </si>
  <si>
    <r>
      <t>・市道は</t>
    </r>
    <r>
      <rPr>
        <sz val="11"/>
        <rFont val="ＭＳ Ｐゴシック"/>
        <family val="3"/>
        <charset val="128"/>
      </rPr>
      <t>令和2年4月1日、国道、都道府県道は平成31年4月1日を基本とする
　市道以外でその他の基準日とする市は、欄外注書きとする</t>
    </r>
    <rPh sb="4" eb="6">
      <t>レイワ</t>
    </rPh>
    <rPh sb="22" eb="24">
      <t>ヘイセイ</t>
    </rPh>
    <rPh sb="26" eb="27">
      <t>ネン</t>
    </rPh>
    <phoneticPr fontId="2"/>
  </si>
  <si>
    <t>下水道</t>
    <rPh sb="0" eb="3">
      <t>ゲスイドウ</t>
    </rPh>
    <phoneticPr fontId="2"/>
  </si>
  <si>
    <r>
      <t>・</t>
    </r>
    <r>
      <rPr>
        <sz val="11"/>
        <rFont val="ＭＳ Ｐゴシック"/>
        <family val="3"/>
        <charset val="128"/>
      </rPr>
      <t>令和元年度実績を記入</t>
    </r>
    <rPh sb="1" eb="6">
      <t>レイワガンネンド</t>
    </rPh>
    <rPh sb="4" eb="6">
      <t>ネンド</t>
    </rPh>
    <rPh sb="6" eb="8">
      <t>ジッセキ</t>
    </rPh>
    <rPh sb="9" eb="11">
      <t>キニュウ</t>
    </rPh>
    <phoneticPr fontId="2"/>
  </si>
  <si>
    <t>汚水処理人口普及率</t>
    <rPh sb="0" eb="2">
      <t>オスイ</t>
    </rPh>
    <rPh sb="2" eb="4">
      <t>ショリ</t>
    </rPh>
    <rPh sb="4" eb="6">
      <t>ジンコウ</t>
    </rPh>
    <rPh sb="6" eb="8">
      <t>フキュウ</t>
    </rPh>
    <rPh sb="8" eb="9">
      <t>リツ</t>
    </rPh>
    <phoneticPr fontId="2"/>
  </si>
  <si>
    <r>
      <t>・</t>
    </r>
    <r>
      <rPr>
        <sz val="11"/>
        <rFont val="ＭＳ Ｐゴシック"/>
        <family val="3"/>
        <charset val="128"/>
      </rPr>
      <t>令和元年度汚水処理人口普及状況総括表より記入</t>
    </r>
    <phoneticPr fontId="2"/>
  </si>
  <si>
    <t>上水道</t>
    <rPh sb="0" eb="3">
      <t>ジョウスイドウ</t>
    </rPh>
    <phoneticPr fontId="2"/>
  </si>
  <si>
    <r>
      <t>・</t>
    </r>
    <r>
      <rPr>
        <sz val="11"/>
        <rFont val="ＭＳ Ｐゴシック"/>
        <family val="3"/>
        <charset val="128"/>
      </rPr>
      <t>令和元年度実績を記入
　※人口普及率は、対給水区域内人口普及率を記入
　※１人当たり年間使用量は、年間有収水量÷給水人口で計算
　※管路の耐震管率、浄水施設及び配水池の耐震化率は、水道事業ガイドラインに基づく業務指標（ＰＩ）より算出　（単位　％）
  ・管路の耐震管率＝(耐震管延長(km)/管路延長(km))×100
　・浄水施設の耐震化率＝耐震対策の施された浄水施設能力（㎥/日）／全浄水施設能力（㎥/日）×100
　・配水池の耐震化率＝耐震対策の施された配水池有効容量（㎥）／配水池等有効容量（㎥）×100</t>
    </r>
    <phoneticPr fontId="2"/>
  </si>
  <si>
    <t>住宅</t>
    <rPh sb="0" eb="2">
      <t>ジュウタク</t>
    </rPh>
    <phoneticPr fontId="2"/>
  </si>
  <si>
    <r>
      <t>・</t>
    </r>
    <r>
      <rPr>
        <sz val="11"/>
        <rFont val="ＭＳ Ｐゴシック"/>
        <family val="3"/>
        <charset val="128"/>
      </rPr>
      <t>令和元年度建築動態統計調査より記入
・公共賃貸住宅数は、令和元年度末実績を記入
・サービス付き高齢者向け住宅数は、令和2年4月1日現在の登録済みサービス付き高齢者向け住宅の「箇所数」及び「戸数」</t>
    </r>
    <rPh sb="1" eb="6">
      <t>レイワガンネンド</t>
    </rPh>
    <rPh sb="4" eb="5">
      <t>ネン</t>
    </rPh>
    <rPh sb="5" eb="6">
      <t>ド</t>
    </rPh>
    <rPh sb="6" eb="8">
      <t>ケンチク</t>
    </rPh>
    <rPh sb="8" eb="10">
      <t>ドウタイ</t>
    </rPh>
    <rPh sb="10" eb="12">
      <t>トウケイ</t>
    </rPh>
    <rPh sb="12" eb="14">
      <t>チョウサ</t>
    </rPh>
    <rPh sb="16" eb="18">
      <t>キニュウ</t>
    </rPh>
    <rPh sb="58" eb="60">
      <t>レイワ</t>
    </rPh>
    <phoneticPr fontId="2"/>
  </si>
  <si>
    <t>７　施設</t>
    <rPh sb="2" eb="4">
      <t>シセツ</t>
    </rPh>
    <phoneticPr fontId="2"/>
  </si>
  <si>
    <t>教育施設</t>
    <rPh sb="0" eb="2">
      <t>キョウイク</t>
    </rPh>
    <rPh sb="2" eb="4">
      <t>シセツ</t>
    </rPh>
    <phoneticPr fontId="2"/>
  </si>
  <si>
    <r>
      <t>・</t>
    </r>
    <r>
      <rPr>
        <sz val="11"/>
        <rFont val="ＭＳ Ｐゴシック"/>
        <family val="3"/>
        <charset val="128"/>
      </rPr>
      <t>令和2年4月1日現在を記入。ただし学校数、在学者数、教職員数は令和2年度学校基本調査により記入
・教職員数は本務者のみ記入
・大学等については市立のみ記入
・図書館については市立のみ記入
・総貸出冊数については、令和元年度中の数値（雑誌、視聴覚資料を含む）
・博物館等は「博物館」（登録博物館）、「博物館相当施設」又は「博物館類似施設」に分類される全ての施設を計上対象とする。また、市立のものに限定せず、公立・私立施設全てを対象とする。
・公民館数については、社会教育法に基づいて市町村が条例によって設置し、かつ館が設置されているものを記入</t>
    </r>
    <rPh sb="117" eb="119">
      <t>ザッシ</t>
    </rPh>
    <phoneticPr fontId="2"/>
  </si>
  <si>
    <t>スポーツ施設</t>
    <rPh sb="4" eb="6">
      <t>シセツ</t>
    </rPh>
    <phoneticPr fontId="2"/>
  </si>
  <si>
    <r>
      <t xml:space="preserve">・主体が市のもので、有料施設を記入
</t>
    </r>
    <r>
      <rPr>
        <sz val="11"/>
        <rFont val="ＭＳ Ｐゴシック"/>
        <family val="3"/>
        <charset val="128"/>
      </rPr>
      <t>※項目にない施設についての回答は不要</t>
    </r>
    <rPh sb="19" eb="21">
      <t>コウモク</t>
    </rPh>
    <rPh sb="24" eb="26">
      <t>シセツ</t>
    </rPh>
    <rPh sb="31" eb="33">
      <t>カイトウ</t>
    </rPh>
    <rPh sb="34" eb="36">
      <t>フヨウ</t>
    </rPh>
    <phoneticPr fontId="2"/>
  </si>
  <si>
    <t>文化施設</t>
    <rPh sb="0" eb="2">
      <t>ブンカ</t>
    </rPh>
    <rPh sb="2" eb="4">
      <t>シセツ</t>
    </rPh>
    <phoneticPr fontId="2"/>
  </si>
  <si>
    <r>
      <t>・「市町村公共施設状況調査」により、</t>
    </r>
    <r>
      <rPr>
        <sz val="11"/>
        <rFont val="ＭＳ Ｐゴシック"/>
        <family val="3"/>
        <charset val="128"/>
      </rPr>
      <t>令和2年4月1日現在で記入
・「大ホール収容定員」の大ホールは定員1,000名程度以上を目安とし、大ホールが2つ以上ある場合は合計数</t>
    </r>
    <rPh sb="18" eb="20">
      <t>レイワ</t>
    </rPh>
    <rPh sb="44" eb="45">
      <t>ダイ</t>
    </rPh>
    <phoneticPr fontId="2"/>
  </si>
  <si>
    <t>放課後児童クラブ</t>
    <rPh sb="0" eb="3">
      <t>ホウカゴ</t>
    </rPh>
    <rPh sb="3" eb="5">
      <t>ジドウ</t>
    </rPh>
    <phoneticPr fontId="2"/>
  </si>
  <si>
    <r>
      <t>・厚生労働省行政総合システム（ＷＩＳＨ）に回答する数値（</t>
    </r>
    <r>
      <rPr>
        <sz val="11"/>
        <rFont val="ＭＳ Ｐゴシック"/>
        <family val="3"/>
        <charset val="128"/>
      </rPr>
      <t>令和2年7月1日時点）</t>
    </r>
    <rPh sb="1" eb="3">
      <t>コウセイ</t>
    </rPh>
    <rPh sb="3" eb="6">
      <t>ロウドウショウ</t>
    </rPh>
    <rPh sb="6" eb="8">
      <t>ギョウセイ</t>
    </rPh>
    <rPh sb="8" eb="10">
      <t>ソウゴウ</t>
    </rPh>
    <rPh sb="21" eb="23">
      <t>カイトウ</t>
    </rPh>
    <rPh sb="25" eb="27">
      <t>スウチ</t>
    </rPh>
    <rPh sb="28" eb="30">
      <t>レイワ</t>
    </rPh>
    <rPh sb="31" eb="32">
      <t>ネン</t>
    </rPh>
    <rPh sb="33" eb="34">
      <t>ガツ</t>
    </rPh>
    <rPh sb="35" eb="36">
      <t>ニチ</t>
    </rPh>
    <rPh sb="36" eb="38">
      <t>ジテン</t>
    </rPh>
    <phoneticPr fontId="2"/>
  </si>
  <si>
    <r>
      <t>消防施設</t>
    </r>
    <r>
      <rPr>
        <sz val="11"/>
        <rFont val="ＭＳ Ｐゴシック"/>
        <family val="3"/>
        <charset val="128"/>
      </rPr>
      <t>・活動</t>
    </r>
    <rPh sb="0" eb="2">
      <t>ショウボウ</t>
    </rPh>
    <rPh sb="2" eb="4">
      <t>シセツ</t>
    </rPh>
    <rPh sb="5" eb="7">
      <t>カツドウ</t>
    </rPh>
    <phoneticPr fontId="2"/>
  </si>
  <si>
    <r>
      <t>・消防施設数は、</t>
    </r>
    <r>
      <rPr>
        <sz val="11"/>
        <rFont val="ＭＳ Ｐゴシック"/>
        <family val="3"/>
        <charset val="128"/>
      </rPr>
      <t>令和2年4月1日現在を記入（救急車両を含めた数を記載）
・火災発生件数は、令和元年中の数値
・救急出動件数は、令和元年中の数値
・救助出動件数は、令和元年中の数値
・指定緊急避難場所及び指定避難所は、令和2年4月1日現在を記入</t>
    </r>
    <rPh sb="8" eb="10">
      <t>レイワ</t>
    </rPh>
    <rPh sb="45" eb="47">
      <t>レイワ</t>
    </rPh>
    <rPh sb="47" eb="48">
      <t>ガン</t>
    </rPh>
    <rPh sb="55" eb="57">
      <t>キュウキュウ</t>
    </rPh>
    <rPh sb="73" eb="75">
      <t>キュウジョ</t>
    </rPh>
    <rPh sb="75" eb="77">
      <t>シュツドウ</t>
    </rPh>
    <rPh sb="77" eb="79">
      <t>ケンスウ</t>
    </rPh>
    <rPh sb="81" eb="83">
      <t>レイワ</t>
    </rPh>
    <rPh sb="83" eb="86">
      <t>ガンネンチュウ</t>
    </rPh>
    <rPh sb="87" eb="89">
      <t>スウチ</t>
    </rPh>
    <phoneticPr fontId="2"/>
  </si>
  <si>
    <t>公共施設等</t>
    <rPh sb="0" eb="2">
      <t>コウキョウ</t>
    </rPh>
    <rPh sb="2" eb="4">
      <t>シセツ</t>
    </rPh>
    <rPh sb="4" eb="5">
      <t>トウ</t>
    </rPh>
    <phoneticPr fontId="2"/>
  </si>
  <si>
    <r>
      <t>・レクリエーション・スポーツ施設：競技場、野球場、体育館、テニスコート、プール等
・産業振興施設：情報提供施設、展示場施設等
・基盤施設：駐車場、公園、水道施設、下水道終末処理場等
・文教施設：市民会館、文化会館、博物館、美術館、自然の家等
・社会福祉施設：病院、老人福祉センター等
・行政財産、普通財産の延べ床面積は、地方自治法第233条第1項及び地方自治法施行令第166条第2項における財産に関する調書の建物延床面積計（</t>
    </r>
    <r>
      <rPr>
        <sz val="11"/>
        <rFont val="ＭＳ Ｐゴシック"/>
        <family val="3"/>
        <charset val="128"/>
      </rPr>
      <t>令和2年3月31日現在）</t>
    </r>
  </si>
  <si>
    <r>
      <rPr>
        <sz val="11"/>
        <rFont val="ＭＳ Ｐゴシック"/>
        <family val="3"/>
        <charset val="128"/>
      </rPr>
      <t>令和元年度
決算
（普通会計）</t>
    </r>
    <rPh sb="0" eb="5">
      <t>レイワガンネンド</t>
    </rPh>
    <rPh sb="3" eb="5">
      <t>ネンド</t>
    </rPh>
    <rPh sb="6" eb="8">
      <t>ケッサン</t>
    </rPh>
    <phoneticPr fontId="2"/>
  </si>
  <si>
    <t>ⅰ　歳入・歳出等総額
ⅱ　歳入内訳（款別）
ⅲ　歳出内訳（目的別）</t>
    <rPh sb="2" eb="4">
      <t>サイニュウ</t>
    </rPh>
    <rPh sb="5" eb="7">
      <t>サイシュツ</t>
    </rPh>
    <rPh sb="7" eb="8">
      <t>トウ</t>
    </rPh>
    <rPh sb="8" eb="10">
      <t>ソウガク</t>
    </rPh>
    <phoneticPr fontId="2"/>
  </si>
  <si>
    <r>
      <rPr>
        <sz val="11"/>
        <rFont val="ＭＳ Ｐゴシック"/>
        <family val="3"/>
        <charset val="128"/>
      </rPr>
      <t>令和元年度地方財政状況調査より記入</t>
    </r>
    <rPh sb="0" eb="5">
      <t>レイワガンネンド</t>
    </rPh>
    <rPh sb="3" eb="5">
      <t>ネンド</t>
    </rPh>
    <rPh sb="5" eb="7">
      <t>チホウ</t>
    </rPh>
    <rPh sb="7" eb="9">
      <t>ザイセイ</t>
    </rPh>
    <rPh sb="9" eb="11">
      <t>ジョウキョウ</t>
    </rPh>
    <rPh sb="11" eb="13">
      <t>チョウサ</t>
    </rPh>
    <rPh sb="15" eb="17">
      <t>キニュウ</t>
    </rPh>
    <phoneticPr fontId="2"/>
  </si>
  <si>
    <t>ⅳ　市税内訳
ⅴ　市税徴収率</t>
    <rPh sb="2" eb="4">
      <t>シゼイ</t>
    </rPh>
    <rPh sb="4" eb="6">
      <t>ウチワケ</t>
    </rPh>
    <phoneticPr fontId="2"/>
  </si>
  <si>
    <r>
      <rPr>
        <sz val="11"/>
        <rFont val="ＭＳ Ｐゴシック"/>
        <family val="3"/>
        <charset val="128"/>
      </rPr>
      <t>令和元年度地方財政状況調査より記入
・軽自動車税は、軽自動車税種別割・軽自動車税環境性能割に区分</t>
    </r>
    <rPh sb="0" eb="5">
      <t>レイワガンネンド</t>
    </rPh>
    <rPh sb="3" eb="4">
      <t>ネン</t>
    </rPh>
    <rPh sb="4" eb="5">
      <t>ド</t>
    </rPh>
    <rPh sb="5" eb="7">
      <t>チホウ</t>
    </rPh>
    <rPh sb="7" eb="9">
      <t>ザイセイ</t>
    </rPh>
    <rPh sb="9" eb="11">
      <t>ジョウキョウ</t>
    </rPh>
    <rPh sb="11" eb="13">
      <t>チョウサ</t>
    </rPh>
    <rPh sb="15" eb="17">
      <t>キニュウ</t>
    </rPh>
    <rPh sb="19" eb="23">
      <t>ケイジドウシャ</t>
    </rPh>
    <rPh sb="23" eb="24">
      <t>ゼイ</t>
    </rPh>
    <phoneticPr fontId="2"/>
  </si>
  <si>
    <t>１　市　勢</t>
    <rPh sb="2" eb="3">
      <t>イチ</t>
    </rPh>
    <rPh sb="4" eb="5">
      <t>ゼイ</t>
    </rPh>
    <phoneticPr fontId="2"/>
  </si>
  <si>
    <t xml:space="preserve">項目 </t>
    <rPh sb="0" eb="1">
      <t>コウ</t>
    </rPh>
    <rPh sb="1" eb="2">
      <t>メ</t>
    </rPh>
    <phoneticPr fontId="2"/>
  </si>
  <si>
    <t>人　口
(住民基本台帳登録人口)</t>
    <rPh sb="0" eb="1">
      <t>ヒト</t>
    </rPh>
    <rPh sb="2" eb="3">
      <t>クチ</t>
    </rPh>
    <rPh sb="5" eb="7">
      <t>ジュウミン</t>
    </rPh>
    <rPh sb="7" eb="9">
      <t>キホン</t>
    </rPh>
    <rPh sb="9" eb="11">
      <t>ダイチョウ</t>
    </rPh>
    <rPh sb="11" eb="13">
      <t>トウロク</t>
    </rPh>
    <phoneticPr fontId="2"/>
  </si>
  <si>
    <t>自然動態</t>
    <phoneticPr fontId="2"/>
  </si>
  <si>
    <t>社会動態</t>
    <phoneticPr fontId="2"/>
  </si>
  <si>
    <t>世帯数</t>
    <rPh sb="0" eb="3">
      <t>セタイスウ</t>
    </rPh>
    <phoneticPr fontId="2"/>
  </si>
  <si>
    <t>平成27年国勢調査人口</t>
    <rPh sb="0" eb="2">
      <t>ヘイセイ</t>
    </rPh>
    <rPh sb="4" eb="5">
      <t>ネン</t>
    </rPh>
    <rPh sb="5" eb="7">
      <t>コクセイ</t>
    </rPh>
    <rPh sb="7" eb="9">
      <t>チョウサ</t>
    </rPh>
    <rPh sb="9" eb="11">
      <t>ジンコウ</t>
    </rPh>
    <phoneticPr fontId="2"/>
  </si>
  <si>
    <t>昼夜間
人口比率</t>
    <rPh sb="0" eb="1">
      <t>ヒル</t>
    </rPh>
    <rPh sb="1" eb="3">
      <t>ヤカン</t>
    </rPh>
    <rPh sb="4" eb="6">
      <t>ジンコウ</t>
    </rPh>
    <rPh sb="6" eb="8">
      <t>ヒリツ</t>
    </rPh>
    <phoneticPr fontId="2"/>
  </si>
  <si>
    <t>自治会
加入率</t>
    <rPh sb="0" eb="3">
      <t>ジチカイ</t>
    </rPh>
    <rPh sb="4" eb="6">
      <t>カニュウ</t>
    </rPh>
    <rPh sb="6" eb="7">
      <t>リツ</t>
    </rPh>
    <phoneticPr fontId="2"/>
  </si>
  <si>
    <t>行政区域
面積</t>
    <rPh sb="0" eb="2">
      <t>ギョウセイ</t>
    </rPh>
    <rPh sb="2" eb="4">
      <t>クイキ</t>
    </rPh>
    <rPh sb="5" eb="6">
      <t>メン</t>
    </rPh>
    <rPh sb="6" eb="7">
      <t>セキ</t>
    </rPh>
    <phoneticPr fontId="2"/>
  </si>
  <si>
    <t>線引き都市計画区域</t>
    <rPh sb="0" eb="2">
      <t>センビ</t>
    </rPh>
    <rPh sb="3" eb="5">
      <t>トシ</t>
    </rPh>
    <rPh sb="5" eb="7">
      <t>ケイカク</t>
    </rPh>
    <rPh sb="7" eb="9">
      <t>クイキ</t>
    </rPh>
    <phoneticPr fontId="2"/>
  </si>
  <si>
    <t>非線引き都市計画区域面積</t>
    <rPh sb="0" eb="1">
      <t>ヒ</t>
    </rPh>
    <rPh sb="1" eb="3">
      <t>センビ</t>
    </rPh>
    <rPh sb="4" eb="6">
      <t>トシ</t>
    </rPh>
    <rPh sb="6" eb="8">
      <t>ケイカク</t>
    </rPh>
    <rPh sb="8" eb="10">
      <t>クイキ</t>
    </rPh>
    <rPh sb="10" eb="12">
      <t>メンセキ</t>
    </rPh>
    <phoneticPr fontId="2"/>
  </si>
  <si>
    <t>都市計画区域外面積</t>
    <rPh sb="0" eb="2">
      <t>トシ</t>
    </rPh>
    <rPh sb="2" eb="4">
      <t>ケイカク</t>
    </rPh>
    <rPh sb="4" eb="7">
      <t>クイキガイ</t>
    </rPh>
    <rPh sb="7" eb="9">
      <t>メンセキ</t>
    </rPh>
    <phoneticPr fontId="2"/>
  </si>
  <si>
    <t>都市再生特別措置法に基づく立地適正化計画</t>
    <phoneticPr fontId="2"/>
  </si>
  <si>
    <t>人口密度</t>
    <rPh sb="0" eb="1">
      <t>ヒト</t>
    </rPh>
    <rPh sb="1" eb="2">
      <t>クチ</t>
    </rPh>
    <rPh sb="2" eb="3">
      <t>ミツ</t>
    </rPh>
    <rPh sb="3" eb="4">
      <t>ド</t>
    </rPh>
    <phoneticPr fontId="2"/>
  </si>
  <si>
    <t>人口集中地区</t>
    <rPh sb="0" eb="2">
      <t>ジンコウ</t>
    </rPh>
    <rPh sb="2" eb="4">
      <t>シュウチュウ</t>
    </rPh>
    <rPh sb="4" eb="6">
      <t>チク</t>
    </rPh>
    <phoneticPr fontId="2"/>
  </si>
  <si>
    <t>海外</t>
    <rPh sb="0" eb="1">
      <t>ウミ</t>
    </rPh>
    <rPh sb="1" eb="2">
      <t>ガイ</t>
    </rPh>
    <phoneticPr fontId="2"/>
  </si>
  <si>
    <t>国内</t>
    <rPh sb="0" eb="1">
      <t>クニ</t>
    </rPh>
    <rPh sb="1" eb="2">
      <t>ナイ</t>
    </rPh>
    <phoneticPr fontId="2"/>
  </si>
  <si>
    <t>外国人</t>
    <rPh sb="0" eb="2">
      <t>ガイコク</t>
    </rPh>
    <rPh sb="2" eb="3">
      <t>ジン</t>
    </rPh>
    <phoneticPr fontId="2"/>
  </si>
  <si>
    <t>対前年</t>
    <rPh sb="0" eb="1">
      <t>タイ</t>
    </rPh>
    <rPh sb="1" eb="3">
      <t>ゼンネン</t>
    </rPh>
    <phoneticPr fontId="2"/>
  </si>
  <si>
    <t>0－14歳</t>
    <rPh sb="4" eb="5">
      <t>サイ</t>
    </rPh>
    <phoneticPr fontId="2"/>
  </si>
  <si>
    <t>15－64歳</t>
    <rPh sb="5" eb="6">
      <t>サイ</t>
    </rPh>
    <phoneticPr fontId="2"/>
  </si>
  <si>
    <t>65歳以上</t>
    <rPh sb="2" eb="3">
      <t>サイ</t>
    </rPh>
    <rPh sb="3" eb="5">
      <t>イジョウ</t>
    </rPh>
    <phoneticPr fontId="2"/>
  </si>
  <si>
    <t>合計特殊
出生率</t>
    <phoneticPr fontId="2"/>
  </si>
  <si>
    <t>市街化区域
面積</t>
    <rPh sb="0" eb="3">
      <t>シガイカ</t>
    </rPh>
    <phoneticPr fontId="2"/>
  </si>
  <si>
    <t>市街化区域
人口割合</t>
    <rPh sb="0" eb="3">
      <t>シガイカ</t>
    </rPh>
    <rPh sb="3" eb="5">
      <t>クイキ</t>
    </rPh>
    <rPh sb="6" eb="8">
      <t>ジンコウ</t>
    </rPh>
    <rPh sb="8" eb="10">
      <t>ワリアイ</t>
    </rPh>
    <phoneticPr fontId="2"/>
  </si>
  <si>
    <t>市街化区域
人口密度</t>
  </si>
  <si>
    <t>市街化調整
区域面積</t>
    <rPh sb="0" eb="3">
      <t>シガイカ</t>
    </rPh>
    <phoneticPr fontId="2"/>
  </si>
  <si>
    <t>当該計画公表（変更）日</t>
  </si>
  <si>
    <t>居住誘導区域の面積</t>
  </si>
  <si>
    <t>都市機能誘導区域の
区域数</t>
    <phoneticPr fontId="2"/>
  </si>
  <si>
    <t>都市機能誘導区域の
合計面積</t>
    <phoneticPr fontId="2"/>
  </si>
  <si>
    <t>面積</t>
    <rPh sb="0" eb="2">
      <t>メンセキ</t>
    </rPh>
    <phoneticPr fontId="2"/>
  </si>
  <si>
    <t>人口密度</t>
    <rPh sb="0" eb="2">
      <t>ジンコウ</t>
    </rPh>
    <rPh sb="2" eb="4">
      <t>ミツド</t>
    </rPh>
    <phoneticPr fontId="2"/>
  </si>
  <si>
    <t>姉妹・友好</t>
    <rPh sb="0" eb="2">
      <t>シマイ</t>
    </rPh>
    <rPh sb="3" eb="5">
      <t>ユウコウ</t>
    </rPh>
    <phoneticPr fontId="2"/>
  </si>
  <si>
    <t>人口</t>
    <phoneticPr fontId="2"/>
  </si>
  <si>
    <t>伸び率</t>
    <rPh sb="0" eb="1">
      <t>ノ</t>
    </rPh>
    <rPh sb="2" eb="3">
      <t>リツ</t>
    </rPh>
    <phoneticPr fontId="2"/>
  </si>
  <si>
    <t>人口比率</t>
    <rPh sb="0" eb="2">
      <t>ジンコウ</t>
    </rPh>
    <rPh sb="2" eb="4">
      <t>ヒリツ</t>
    </rPh>
    <phoneticPr fontId="2"/>
  </si>
  <si>
    <t>(Ａ)－(Ｂ)</t>
    <phoneticPr fontId="2"/>
  </si>
  <si>
    <t>出生者(A）</t>
    <rPh sb="0" eb="2">
      <t>シュッセイ</t>
    </rPh>
    <rPh sb="2" eb="3">
      <t>シャ</t>
    </rPh>
    <phoneticPr fontId="2"/>
  </si>
  <si>
    <t>死亡者(B）</t>
    <rPh sb="0" eb="3">
      <t>シボウシャ</t>
    </rPh>
    <phoneticPr fontId="2"/>
  </si>
  <si>
    <t>(C)－(D)</t>
    <phoneticPr fontId="2"/>
  </si>
  <si>
    <t>転入者(C）</t>
    <rPh sb="0" eb="3">
      <t>テンニュウシャ</t>
    </rPh>
    <phoneticPr fontId="2"/>
  </si>
  <si>
    <t>転出者(D)</t>
    <rPh sb="0" eb="3">
      <t>テンシュツシャ</t>
    </rPh>
    <phoneticPr fontId="2"/>
  </si>
  <si>
    <t>都市数</t>
    <rPh sb="0" eb="1">
      <t>ミヤコ</t>
    </rPh>
    <rPh sb="1" eb="2">
      <t>シ</t>
    </rPh>
    <rPh sb="2" eb="3">
      <t>スウ</t>
    </rPh>
    <phoneticPr fontId="2"/>
  </si>
  <si>
    <t xml:space="preserve"> 市名</t>
    <rPh sb="1" eb="2">
      <t>シ</t>
    </rPh>
    <rPh sb="2" eb="3">
      <t>メイ</t>
    </rPh>
    <phoneticPr fontId="2"/>
  </si>
  <si>
    <t>人</t>
    <rPh sb="0" eb="1">
      <t>ヒト</t>
    </rPh>
    <phoneticPr fontId="2"/>
  </si>
  <si>
    <t>人</t>
    <phoneticPr fontId="2"/>
  </si>
  <si>
    <t>％</t>
    <phoneticPr fontId="2"/>
  </si>
  <si>
    <t>世帯</t>
    <rPh sb="0" eb="2">
      <t>セタイ</t>
    </rPh>
    <phoneticPr fontId="2"/>
  </si>
  <si>
    <t>％</t>
  </si>
  <si>
    <t>%</t>
    <phoneticPr fontId="2"/>
  </si>
  <si>
    <t>㎢</t>
    <phoneticPr fontId="2"/>
  </si>
  <si>
    <t>人/㎢</t>
    <rPh sb="0" eb="1">
      <t>ヒト</t>
    </rPh>
    <phoneticPr fontId="2"/>
  </si>
  <si>
    <t>年月日（和暦）</t>
    <rPh sb="0" eb="3">
      <t>ネンガッピ</t>
    </rPh>
    <rPh sb="4" eb="6">
      <t>ワレキ</t>
    </rPh>
    <phoneticPr fontId="2"/>
  </si>
  <si>
    <t>ha</t>
    <phoneticPr fontId="2"/>
  </si>
  <si>
    <t>-</t>
    <phoneticPr fontId="2"/>
  </si>
  <si>
    <t>人/㎢</t>
    <phoneticPr fontId="2"/>
  </si>
  <si>
    <t>か所</t>
    <rPh sb="1" eb="2">
      <t>ショ</t>
    </rPh>
    <phoneticPr fontId="2"/>
  </si>
  <si>
    <t>函館市</t>
  </si>
  <si>
    <t>-</t>
  </si>
  <si>
    <t>旭川市</t>
  </si>
  <si>
    <t>青森市</t>
  </si>
  <si>
    <t>平成30年3月30日（平成31年3月29日）(令和2年3月31日)</t>
  </si>
  <si>
    <t>八戸市</t>
  </si>
  <si>
    <t>盛岡市</t>
  </si>
  <si>
    <t>秋田市</t>
  </si>
  <si>
    <t>山形市</t>
  </si>
  <si>
    <t>福島市</t>
    <rPh sb="0" eb="3">
      <t>フクシマシ</t>
    </rPh>
    <phoneticPr fontId="2"/>
  </si>
  <si>
    <t>…</t>
  </si>
  <si>
    <t>郡山市</t>
  </si>
  <si>
    <t>いわき市</t>
  </si>
  <si>
    <t>水戸市</t>
  </si>
  <si>
    <t>平成29年3月31日,平成31年3月29日</t>
    <phoneticPr fontId="2"/>
  </si>
  <si>
    <t>宇都宮市</t>
  </si>
  <si>
    <t>前橋市</t>
  </si>
  <si>
    <t>高崎市</t>
  </si>
  <si>
    <t>195.7</t>
  </si>
  <si>
    <t>127.0</t>
  </si>
  <si>
    <t>令和2年3月31日</t>
  </si>
  <si>
    <t>川越市</t>
  </si>
  <si>
    <t>平成30年12月25日</t>
  </si>
  <si>
    <t>2511.6</t>
  </si>
  <si>
    <t>川口市</t>
  </si>
  <si>
    <t>越谷市</t>
  </si>
  <si>
    <t>船橋市</t>
  </si>
  <si>
    <t>令和４年３月（予定）現在策定中</t>
  </si>
  <si>
    <t xml:space="preserve">… </t>
  </si>
  <si>
    <t>柏市</t>
  </si>
  <si>
    <t>八王子市</t>
  </si>
  <si>
    <t>横須賀市</t>
  </si>
  <si>
    <t>富山市</t>
  </si>
  <si>
    <t>金沢市</t>
  </si>
  <si>
    <t>福井市</t>
    <rPh sb="0" eb="3">
      <t>フクイシ</t>
    </rPh>
    <phoneticPr fontId="2"/>
  </si>
  <si>
    <t>平成29年3月31日（策定）平成31年3月29日（改訂）</t>
    <rPh sb="0" eb="2">
      <t>ヘイセイ</t>
    </rPh>
    <rPh sb="4" eb="5">
      <t>ネン</t>
    </rPh>
    <rPh sb="6" eb="7">
      <t>ガツ</t>
    </rPh>
    <rPh sb="9" eb="10">
      <t>ニチ</t>
    </rPh>
    <rPh sb="11" eb="13">
      <t>サクテイ</t>
    </rPh>
    <rPh sb="14" eb="16">
      <t>ヘイセイ</t>
    </rPh>
    <rPh sb="18" eb="19">
      <t>ネン</t>
    </rPh>
    <rPh sb="20" eb="21">
      <t>ガツ</t>
    </rPh>
    <rPh sb="23" eb="24">
      <t>ニチ</t>
    </rPh>
    <rPh sb="25" eb="27">
      <t>カイテイ</t>
    </rPh>
    <phoneticPr fontId="2"/>
  </si>
  <si>
    <t>甲府市</t>
  </si>
  <si>
    <t>長野市</t>
  </si>
  <si>
    <t>松本市</t>
    <rPh sb="0" eb="2">
      <t>マツモト</t>
    </rPh>
    <rPh sb="2" eb="3">
      <t>シ</t>
    </rPh>
    <phoneticPr fontId="2"/>
  </si>
  <si>
    <t>岐阜市</t>
  </si>
  <si>
    <t>豊橋市</t>
  </si>
  <si>
    <t>岡崎市</t>
  </si>
  <si>
    <t>一宮市</t>
    <rPh sb="0" eb="2">
      <t>イチノミヤ</t>
    </rPh>
    <phoneticPr fontId="2"/>
  </si>
  <si>
    <t>豊田市</t>
  </si>
  <si>
    <t>大津市</t>
  </si>
  <si>
    <t>豊中市</t>
  </si>
  <si>
    <t>吹田市</t>
    <rPh sb="0" eb="3">
      <t>スイタシ</t>
    </rPh>
    <phoneticPr fontId="2"/>
  </si>
  <si>
    <t>平成31年3月29日</t>
  </si>
  <si>
    <t>高槻市</t>
  </si>
  <si>
    <t>枚方市</t>
  </si>
  <si>
    <t>八尾市</t>
    <rPh sb="0" eb="3">
      <t>ヤオシ</t>
    </rPh>
    <phoneticPr fontId="2"/>
  </si>
  <si>
    <t>寝屋川市</t>
  </si>
  <si>
    <t>東大阪市</t>
  </si>
  <si>
    <t>姫路市</t>
  </si>
  <si>
    <t>尼崎市</t>
  </si>
  <si>
    <t>明石市</t>
  </si>
  <si>
    <t>西宮市</t>
  </si>
  <si>
    <t>－</t>
  </si>
  <si>
    <t>奈良市</t>
  </si>
  <si>
    <t>和歌山市</t>
  </si>
  <si>
    <t>鳥取市</t>
  </si>
  <si>
    <t>松江市</t>
  </si>
  <si>
    <t>倉敷市</t>
  </si>
  <si>
    <t>令和３年３月（予定）現在策定中</t>
  </si>
  <si>
    <t>呉市</t>
    <rPh sb="0" eb="2">
      <t>クレシ</t>
    </rPh>
    <phoneticPr fontId="2"/>
  </si>
  <si>
    <t>福山市</t>
  </si>
  <si>
    <t>令和２年４月１日</t>
  </si>
  <si>
    <t>下関市</t>
  </si>
  <si>
    <t>高松市</t>
  </si>
  <si>
    <t>平成３１年３月２９日</t>
    <rPh sb="0" eb="2">
      <t>ヘイセイ</t>
    </rPh>
    <rPh sb="4" eb="5">
      <t>ネン</t>
    </rPh>
    <rPh sb="6" eb="7">
      <t>ガツ</t>
    </rPh>
    <rPh sb="9" eb="10">
      <t>ニチ</t>
    </rPh>
    <phoneticPr fontId="2"/>
  </si>
  <si>
    <t>松山市</t>
  </si>
  <si>
    <t>高知市</t>
  </si>
  <si>
    <t>平成29年4月1日</t>
  </si>
  <si>
    <t>久留米市</t>
  </si>
  <si>
    <t>長崎市</t>
  </si>
  <si>
    <t>佐世保市</t>
  </si>
  <si>
    <t>策定中</t>
  </si>
  <si>
    <t>大分市</t>
  </si>
  <si>
    <t>宮崎市</t>
  </si>
  <si>
    <t>鹿児島市</t>
  </si>
  <si>
    <t>平成29年3月31日（令和元年11月19日）</t>
  </si>
  <si>
    <t>那覇市</t>
  </si>
  <si>
    <t>中核市合計</t>
    <rPh sb="0" eb="3">
      <t>チュウカクシ</t>
    </rPh>
    <rPh sb="3" eb="5">
      <t>ゴウケイ</t>
    </rPh>
    <phoneticPr fontId="2"/>
  </si>
  <si>
    <t>中核市平均</t>
    <rPh sb="0" eb="3">
      <t>チュウカクシ</t>
    </rPh>
    <rPh sb="3" eb="5">
      <t>ヘイキン</t>
    </rPh>
    <phoneticPr fontId="2"/>
  </si>
  <si>
    <t>備考</t>
  </si>
  <si>
    <t>☐住民基本台帳人口、世帯数は、令和2年3月31日現在を記入</t>
    <rPh sb="15" eb="17">
      <t>レイワ</t>
    </rPh>
    <rPh sb="18" eb="19">
      <t>ネン</t>
    </rPh>
    <phoneticPr fontId="2"/>
  </si>
  <si>
    <t>☐昼夜間人口比率は、平成27年国勢調査における昼間人口を夜間人口で除して得た数を記入</t>
    <rPh sb="1" eb="3">
      <t>チュウヤ</t>
    </rPh>
    <rPh sb="4" eb="6">
      <t>ジンコウ</t>
    </rPh>
    <rPh sb="6" eb="8">
      <t>ヒリツ</t>
    </rPh>
    <rPh sb="10" eb="12">
      <t>ヘイセイ</t>
    </rPh>
    <rPh sb="14" eb="15">
      <t>ネン</t>
    </rPh>
    <rPh sb="38" eb="39">
      <t>カズ</t>
    </rPh>
    <rPh sb="40" eb="42">
      <t>キニュウ</t>
    </rPh>
    <phoneticPr fontId="2"/>
  </si>
  <si>
    <t xml:space="preserve">☐人口密度は、令和2年3月31日現在の住民基本台帳人口を行政区域面積で除した数を記入
</t>
    <rPh sb="7" eb="9">
      <t>レイワ</t>
    </rPh>
    <rPh sb="10" eb="11">
      <t>ネン</t>
    </rPh>
    <phoneticPr fontId="2"/>
  </si>
  <si>
    <t>☐自然動態・社会動態は、平成31年1月1日～令和元年12月31日を記入</t>
    <rPh sb="22" eb="24">
      <t>レイワ</t>
    </rPh>
    <rPh sb="24" eb="25">
      <t>ガン</t>
    </rPh>
    <rPh sb="25" eb="26">
      <t>ネン</t>
    </rPh>
    <phoneticPr fontId="2"/>
  </si>
  <si>
    <t>☐自治会加入率=自治会加入世帯数/推計世帯数</t>
    <phoneticPr fontId="2"/>
  </si>
  <si>
    <t>☐人口集中地区は、平成27年国勢調査より記入</t>
    <phoneticPr fontId="2"/>
  </si>
  <si>
    <t>☐その他は、令和2年4月１日現在を記入</t>
    <rPh sb="6" eb="8">
      <t>レイワ</t>
    </rPh>
    <rPh sb="9" eb="10">
      <t>ネン</t>
    </rPh>
    <phoneticPr fontId="2"/>
  </si>
  <si>
    <t>　（表記は少数点以下四捨五入）</t>
    <rPh sb="2" eb="4">
      <t>ヒョウキ</t>
    </rPh>
    <rPh sb="5" eb="7">
      <t>ショウスウ</t>
    </rPh>
    <rPh sb="7" eb="8">
      <t>テン</t>
    </rPh>
    <rPh sb="8" eb="10">
      <t>イカ</t>
    </rPh>
    <rPh sb="10" eb="14">
      <t>シシャゴニュウ</t>
    </rPh>
    <phoneticPr fontId="2"/>
  </si>
  <si>
    <t>☐姉妹・友好都市は何らかの提携により交流している都市（パートナーシティなど）も含む</t>
    <phoneticPr fontId="2"/>
  </si>
  <si>
    <t>□【呉市】合計特殊出生率は平成30年の数値、【下関市】合計特殊出生率は令和元年度の数値</t>
    <rPh sb="23" eb="26">
      <t>シモノセキシ</t>
    </rPh>
    <rPh sb="35" eb="37">
      <t>レイワ</t>
    </rPh>
    <rPh sb="37" eb="38">
      <t>ガン</t>
    </rPh>
    <rPh sb="39" eb="40">
      <t>ド</t>
    </rPh>
    <phoneticPr fontId="2"/>
  </si>
  <si>
    <t>２　職員数及び職員給料等</t>
    <rPh sb="2" eb="5">
      <t>ショクインスウ</t>
    </rPh>
    <rPh sb="5" eb="6">
      <t>オヨ</t>
    </rPh>
    <rPh sb="7" eb="9">
      <t>ショクイン</t>
    </rPh>
    <rPh sb="9" eb="11">
      <t>キュウリョウ</t>
    </rPh>
    <rPh sb="11" eb="12">
      <t>トウ</t>
    </rPh>
    <phoneticPr fontId="2"/>
  </si>
  <si>
    <t>職員総数</t>
    <rPh sb="0" eb="2">
      <t>ショクイン</t>
    </rPh>
    <rPh sb="2" eb="4">
      <t>ソウスウ</t>
    </rPh>
    <phoneticPr fontId="2"/>
  </si>
  <si>
    <t>一般行政職員</t>
    <rPh sb="0" eb="2">
      <t>イッパン</t>
    </rPh>
    <rPh sb="2" eb="4">
      <t>ギョウセイ</t>
    </rPh>
    <rPh sb="4" eb="5">
      <t>ショク</t>
    </rPh>
    <rPh sb="5" eb="6">
      <t>イン</t>
    </rPh>
    <phoneticPr fontId="2"/>
  </si>
  <si>
    <t>ラスパイレス指数</t>
    <rPh sb="6" eb="8">
      <t>シスウ</t>
    </rPh>
    <phoneticPr fontId="2"/>
  </si>
  <si>
    <t>審議会等の
女性参画率</t>
    <rPh sb="0" eb="3">
      <t>シンギカイ</t>
    </rPh>
    <rPh sb="3" eb="4">
      <t>トウ</t>
    </rPh>
    <rPh sb="6" eb="8">
      <t>ジョセイ</t>
    </rPh>
    <rPh sb="8" eb="10">
      <t>サンカク</t>
    </rPh>
    <rPh sb="10" eb="11">
      <t>リツ</t>
    </rPh>
    <phoneticPr fontId="2"/>
  </si>
  <si>
    <t>管理職の女性比率</t>
    <rPh sb="0" eb="2">
      <t>カンリ</t>
    </rPh>
    <rPh sb="2" eb="3">
      <t>ショク</t>
    </rPh>
    <rPh sb="4" eb="6">
      <t>ジョセイ</t>
    </rPh>
    <rPh sb="6" eb="8">
      <t>ヒリツ</t>
    </rPh>
    <phoneticPr fontId="2"/>
  </si>
  <si>
    <t>対前年度
伸び率</t>
    <rPh sb="0" eb="1">
      <t>タイ</t>
    </rPh>
    <rPh sb="1" eb="4">
      <t>ゼンネンド</t>
    </rPh>
    <phoneticPr fontId="2"/>
  </si>
  <si>
    <t>平均年齢</t>
    <rPh sb="0" eb="1">
      <t>ヒラ</t>
    </rPh>
    <rPh sb="1" eb="2">
      <t>タモツ</t>
    </rPh>
    <rPh sb="2" eb="3">
      <t>トシ</t>
    </rPh>
    <rPh sb="3" eb="4">
      <t>ヨワイ</t>
    </rPh>
    <phoneticPr fontId="2"/>
  </si>
  <si>
    <t>平均
給料月額</t>
    <rPh sb="0" eb="2">
      <t>ヘイキン</t>
    </rPh>
    <phoneticPr fontId="2"/>
  </si>
  <si>
    <t>うち一般行政職</t>
    <rPh sb="2" eb="4">
      <t>イッパン</t>
    </rPh>
    <rPh sb="4" eb="6">
      <t>ギョウセイ</t>
    </rPh>
    <rPh sb="6" eb="7">
      <t>ショク</t>
    </rPh>
    <phoneticPr fontId="2"/>
  </si>
  <si>
    <t>職員数</t>
  </si>
  <si>
    <t>市民千人当たり</t>
    <rPh sb="0" eb="2">
      <t>シミン</t>
    </rPh>
    <rPh sb="2" eb="4">
      <t>センニン</t>
    </rPh>
    <phoneticPr fontId="2"/>
  </si>
  <si>
    <t>歳</t>
    <rPh sb="0" eb="1">
      <t>トシ</t>
    </rPh>
    <phoneticPr fontId="2"/>
  </si>
  <si>
    <t>円</t>
    <rPh sb="0" eb="1">
      <t>エン</t>
    </rPh>
    <phoneticPr fontId="2"/>
  </si>
  <si>
    <t>福井市</t>
  </si>
  <si>
    <t>松本市</t>
    <rPh sb="0" eb="2">
      <t>マツモト</t>
    </rPh>
    <phoneticPr fontId="2"/>
  </si>
  <si>
    <t>八尾市</t>
  </si>
  <si>
    <t>呉市</t>
  </si>
  <si>
    <t>備考</t>
    <rPh sb="0" eb="2">
      <t>ビコウ</t>
    </rPh>
    <phoneticPr fontId="2"/>
  </si>
  <si>
    <t>☐令和2年地方公務員給与実態調査による数値</t>
    <rPh sb="1" eb="3">
      <t>レイワ</t>
    </rPh>
    <rPh sb="4" eb="5">
      <t>ネン</t>
    </rPh>
    <rPh sb="5" eb="7">
      <t>チホウ</t>
    </rPh>
    <rPh sb="7" eb="10">
      <t>コウムイン</t>
    </rPh>
    <rPh sb="10" eb="12">
      <t>キュウヨ</t>
    </rPh>
    <rPh sb="12" eb="14">
      <t>ジッタイ</t>
    </rPh>
    <rPh sb="14" eb="16">
      <t>チョウサ</t>
    </rPh>
    <rPh sb="19" eb="21">
      <t>スウチ</t>
    </rPh>
    <phoneticPr fontId="2"/>
  </si>
  <si>
    <t>☐市民千人当たり職員数は、令和2年3月31日現在住民基本台帳人口により算出</t>
    <rPh sb="8" eb="11">
      <t>ショクインスウ</t>
    </rPh>
    <rPh sb="13" eb="15">
      <t>レイワ</t>
    </rPh>
    <rPh sb="16" eb="17">
      <t>ネン</t>
    </rPh>
    <rPh sb="17" eb="18">
      <t>ヘイネン</t>
    </rPh>
    <phoneticPr fontId="2"/>
  </si>
  <si>
    <t>☐審議会等の女性参画率は、内閣府男女共同参画局「地方公共団体における男女共同参画の形成又は女性に関する施策の</t>
    <rPh sb="51" eb="53">
      <t>シサク</t>
    </rPh>
    <phoneticPr fontId="2"/>
  </si>
  <si>
    <t>　推進状況（令和2年度）」において「地方自治法（第202条の3）に基づく審議会等における登用状況」として報告する数値</t>
    <rPh sb="6" eb="8">
      <t>レイワ</t>
    </rPh>
    <rPh sb="9" eb="11">
      <t>ネンド</t>
    </rPh>
    <rPh sb="36" eb="39">
      <t>シンギカイ</t>
    </rPh>
    <rPh sb="39" eb="40">
      <t>トウ</t>
    </rPh>
    <rPh sb="44" eb="46">
      <t>トウヨウ</t>
    </rPh>
    <rPh sb="46" eb="48">
      <t>ジョウキョウ</t>
    </rPh>
    <rPh sb="52" eb="54">
      <t>ホウコク</t>
    </rPh>
    <rPh sb="56" eb="58">
      <t>スウチ</t>
    </rPh>
    <phoneticPr fontId="2"/>
  </si>
  <si>
    <t>☐管理職に占める女性比率は、内閣府男女共同参画局「地方公共団体における男女共同参画の形成又は女性に関する施策の</t>
    <rPh sb="1" eb="3">
      <t>カンリ</t>
    </rPh>
    <rPh sb="3" eb="4">
      <t>ショク</t>
    </rPh>
    <rPh sb="5" eb="6">
      <t>シ</t>
    </rPh>
    <rPh sb="10" eb="12">
      <t>ヒリツ</t>
    </rPh>
    <rPh sb="52" eb="54">
      <t>シサク</t>
    </rPh>
    <phoneticPr fontId="2"/>
  </si>
  <si>
    <t>　推進状況（令和2年度）」において「市町村職員の管理職の在職状況」として報告する数値</t>
    <rPh sb="6" eb="8">
      <t>レイワ</t>
    </rPh>
    <rPh sb="9" eb="11">
      <t>ネンド</t>
    </rPh>
    <rPh sb="18" eb="21">
      <t>シチョウソン</t>
    </rPh>
    <rPh sb="21" eb="23">
      <t>ショクイン</t>
    </rPh>
    <rPh sb="24" eb="26">
      <t>カンリ</t>
    </rPh>
    <rPh sb="26" eb="27">
      <t>ショク</t>
    </rPh>
    <rPh sb="28" eb="30">
      <t>ザイショク</t>
    </rPh>
    <rPh sb="30" eb="32">
      <t>ジョウキョウ</t>
    </rPh>
    <rPh sb="36" eb="38">
      <t>ホウコク</t>
    </rPh>
    <rPh sb="40" eb="42">
      <t>スウチ</t>
    </rPh>
    <phoneticPr fontId="2"/>
  </si>
  <si>
    <t>３　保健・福祉</t>
    <rPh sb="2" eb="4">
      <t>ホケン</t>
    </rPh>
    <phoneticPr fontId="2"/>
  </si>
  <si>
    <t>《生活保護》</t>
    <rPh sb="1" eb="3">
      <t>セイカツ</t>
    </rPh>
    <rPh sb="3" eb="5">
      <t>ホゴ</t>
    </rPh>
    <phoneticPr fontId="2"/>
  </si>
  <si>
    <r>
      <t>《高齢者福祉施設等》</t>
    </r>
    <r>
      <rPr>
        <b/>
        <sz val="12"/>
        <rFont val="ＭＳ Ｐゴシック"/>
        <family val="3"/>
        <charset val="128"/>
      </rPr>
      <t>（公・私立すべて含む）</t>
    </r>
    <rPh sb="1" eb="4">
      <t>コウレイシャ</t>
    </rPh>
    <rPh sb="4" eb="6">
      <t>フクシ</t>
    </rPh>
    <rPh sb="6" eb="8">
      <t>シセツ</t>
    </rPh>
    <rPh sb="8" eb="9">
      <t>トウ</t>
    </rPh>
    <rPh sb="11" eb="12">
      <t>コウ</t>
    </rPh>
    <rPh sb="13" eb="15">
      <t>シリツ</t>
    </rPh>
    <rPh sb="18" eb="19">
      <t>フク</t>
    </rPh>
    <phoneticPr fontId="2"/>
  </si>
  <si>
    <t>《介護保険》</t>
    <phoneticPr fontId="2"/>
  </si>
  <si>
    <t>《国民健康保険》</t>
    <phoneticPr fontId="2"/>
  </si>
  <si>
    <t>《保育所等》</t>
    <rPh sb="1" eb="3">
      <t>ホイク</t>
    </rPh>
    <rPh sb="3" eb="4">
      <t>ショ</t>
    </rPh>
    <rPh sb="4" eb="5">
      <t>トウ</t>
    </rPh>
    <phoneticPr fontId="2"/>
  </si>
  <si>
    <r>
      <t>《医療機関等》</t>
    </r>
    <r>
      <rPr>
        <b/>
        <sz val="12"/>
        <rFont val="ＭＳ Ｐゴシック"/>
        <family val="3"/>
        <charset val="128"/>
      </rPr>
      <t>（公・私立含む）</t>
    </r>
    <rPh sb="1" eb="3">
      <t>イリョウ</t>
    </rPh>
    <rPh sb="3" eb="5">
      <t>キカン</t>
    </rPh>
    <rPh sb="5" eb="6">
      <t>トウ</t>
    </rPh>
    <rPh sb="8" eb="9">
      <t>コウ</t>
    </rPh>
    <rPh sb="10" eb="12">
      <t>シリツ</t>
    </rPh>
    <rPh sb="12" eb="13">
      <t>フク</t>
    </rPh>
    <phoneticPr fontId="2"/>
  </si>
  <si>
    <t>《障害福祉》</t>
    <rPh sb="1" eb="3">
      <t>ショウガイ</t>
    </rPh>
    <rPh sb="3" eb="5">
      <t>フクシ</t>
    </rPh>
    <phoneticPr fontId="2"/>
  </si>
  <si>
    <t>被保護人員</t>
    <rPh sb="0" eb="1">
      <t>ヒ</t>
    </rPh>
    <rPh sb="1" eb="3">
      <t>ホゴ</t>
    </rPh>
    <rPh sb="3" eb="5">
      <t>ジンイン</t>
    </rPh>
    <phoneticPr fontId="2"/>
  </si>
  <si>
    <t>被保護
世帯</t>
    <phoneticPr fontId="2"/>
  </si>
  <si>
    <t>養護老人ﾎｰﾑ</t>
    <rPh sb="0" eb="2">
      <t>ヨウゴ</t>
    </rPh>
    <rPh sb="2" eb="4">
      <t>ロウジン</t>
    </rPh>
    <phoneticPr fontId="2"/>
  </si>
  <si>
    <t>特別養護老人ﾎｰﾑ</t>
    <rPh sb="0" eb="2">
      <t>トクベツ</t>
    </rPh>
    <rPh sb="2" eb="4">
      <t>ヨウゴ</t>
    </rPh>
    <rPh sb="4" eb="6">
      <t>ロウジン</t>
    </rPh>
    <phoneticPr fontId="2"/>
  </si>
  <si>
    <t>地域密着型特別養護老人ﾎｰﾑ</t>
    <phoneticPr fontId="2"/>
  </si>
  <si>
    <t>軽費老人ﾎｰﾑ</t>
    <rPh sb="0" eb="1">
      <t>カル</t>
    </rPh>
    <rPh sb="1" eb="2">
      <t>ヒ</t>
    </rPh>
    <rPh sb="2" eb="4">
      <t>ロウジン</t>
    </rPh>
    <phoneticPr fontId="2"/>
  </si>
  <si>
    <t>有料老人ﾎｰﾑ</t>
    <rPh sb="0" eb="2">
      <t>ユウリョウ</t>
    </rPh>
    <rPh sb="2" eb="4">
      <t>ロウジン</t>
    </rPh>
    <phoneticPr fontId="2"/>
  </si>
  <si>
    <t>指定介護
サービス
事業所</t>
    <rPh sb="0" eb="2">
      <t>シテイ</t>
    </rPh>
    <rPh sb="2" eb="4">
      <t>カイゴ</t>
    </rPh>
    <rPh sb="10" eb="13">
      <t>ジギョウショ</t>
    </rPh>
    <phoneticPr fontId="2"/>
  </si>
  <si>
    <t>ケアハウス</t>
  </si>
  <si>
    <t>老人福祉
センター</t>
    <rPh sb="0" eb="1">
      <t>ロウ</t>
    </rPh>
    <rPh sb="1" eb="2">
      <t>ジン</t>
    </rPh>
    <phoneticPr fontId="2"/>
  </si>
  <si>
    <t>介護老人保健施設</t>
    <rPh sb="0" eb="2">
      <t>カイゴ</t>
    </rPh>
    <rPh sb="2" eb="4">
      <t>ロウジン</t>
    </rPh>
    <rPh sb="4" eb="6">
      <t>ホケン</t>
    </rPh>
    <rPh sb="6" eb="8">
      <t>シセツ</t>
    </rPh>
    <phoneticPr fontId="2"/>
  </si>
  <si>
    <t>介護医療院</t>
    <rPh sb="0" eb="2">
      <t>カイゴ</t>
    </rPh>
    <rPh sb="2" eb="4">
      <t>イリョウ</t>
    </rPh>
    <rPh sb="4" eb="5">
      <t>イン</t>
    </rPh>
    <phoneticPr fontId="2"/>
  </si>
  <si>
    <t>介護療養型医療施設</t>
    <rPh sb="0" eb="2">
      <t>カイゴ</t>
    </rPh>
    <rPh sb="2" eb="5">
      <t>リョウヨウガタ</t>
    </rPh>
    <rPh sb="5" eb="7">
      <t>イリョウ</t>
    </rPh>
    <rPh sb="7" eb="9">
      <t>シセツ</t>
    </rPh>
    <phoneticPr fontId="2"/>
  </si>
  <si>
    <t>老人憩いの家</t>
    <rPh sb="0" eb="2">
      <t>ロウジン</t>
    </rPh>
    <rPh sb="2" eb="3">
      <t>イコ</t>
    </rPh>
    <rPh sb="5" eb="6">
      <t>イエ</t>
    </rPh>
    <phoneticPr fontId="2"/>
  </si>
  <si>
    <t>第1号
被保険者数</t>
    <rPh sb="0" eb="1">
      <t>ダイ</t>
    </rPh>
    <rPh sb="2" eb="3">
      <t>ゴウ</t>
    </rPh>
    <rPh sb="4" eb="5">
      <t>ヒ</t>
    </rPh>
    <rPh sb="5" eb="8">
      <t>ホケンシャ</t>
    </rPh>
    <rPh sb="8" eb="9">
      <t>スウ</t>
    </rPh>
    <phoneticPr fontId="2"/>
  </si>
  <si>
    <t>要介護（要支援）
認定者数</t>
    <rPh sb="0" eb="3">
      <t>ヨウカイゴ</t>
    </rPh>
    <rPh sb="4" eb="5">
      <t>ヨウ</t>
    </rPh>
    <rPh sb="5" eb="7">
      <t>シエン</t>
    </rPh>
    <rPh sb="9" eb="12">
      <t>ニンテイシャ</t>
    </rPh>
    <rPh sb="12" eb="13">
      <t>スウ</t>
    </rPh>
    <phoneticPr fontId="2"/>
  </si>
  <si>
    <t>保険給付費</t>
    <rPh sb="0" eb="2">
      <t>ホケン</t>
    </rPh>
    <rPh sb="2" eb="4">
      <t>キュウフ</t>
    </rPh>
    <rPh sb="4" eb="5">
      <t>ヒ</t>
    </rPh>
    <phoneticPr fontId="2"/>
  </si>
  <si>
    <t>保険料収納率</t>
    <rPh sb="0" eb="3">
      <t>ホケンリョウ</t>
    </rPh>
    <rPh sb="3" eb="5">
      <t>シュウノウ</t>
    </rPh>
    <rPh sb="5" eb="6">
      <t>リツ</t>
    </rPh>
    <phoneticPr fontId="2"/>
  </si>
  <si>
    <t>地域包括支援
センター数</t>
    <rPh sb="0" eb="2">
      <t>チイキ</t>
    </rPh>
    <rPh sb="2" eb="4">
      <t>ホウカツ</t>
    </rPh>
    <rPh sb="4" eb="6">
      <t>シエン</t>
    </rPh>
    <rPh sb="11" eb="12">
      <t>スウ</t>
    </rPh>
    <phoneticPr fontId="2"/>
  </si>
  <si>
    <t>被保険者数</t>
    <rPh sb="0" eb="4">
      <t>ヒホケンシャ</t>
    </rPh>
    <rPh sb="4" eb="5">
      <t>スウ</t>
    </rPh>
    <phoneticPr fontId="2"/>
  </si>
  <si>
    <t>加入世帯数</t>
    <rPh sb="0" eb="2">
      <t>カニュウ</t>
    </rPh>
    <rPh sb="2" eb="5">
      <t>セタイスウ</t>
    </rPh>
    <phoneticPr fontId="2"/>
  </si>
  <si>
    <t>被保険者１人
当たり費用額</t>
    <rPh sb="0" eb="4">
      <t>ヒホケンシャ</t>
    </rPh>
    <phoneticPr fontId="2"/>
  </si>
  <si>
    <t>保険料（税）   
徴収率</t>
    <rPh sb="0" eb="3">
      <t>ホケンリョウ</t>
    </rPh>
    <phoneticPr fontId="2"/>
  </si>
  <si>
    <t>特定健康診査実施率</t>
    <rPh sb="0" eb="2">
      <t>トクテイ</t>
    </rPh>
    <rPh sb="2" eb="4">
      <t>ケンコウ</t>
    </rPh>
    <rPh sb="4" eb="6">
      <t>シンサ</t>
    </rPh>
    <rPh sb="6" eb="8">
      <t>ジッシ</t>
    </rPh>
    <rPh sb="8" eb="9">
      <t>リツ</t>
    </rPh>
    <phoneticPr fontId="2"/>
  </si>
  <si>
    <t>特定保健指導実施率</t>
    <rPh sb="0" eb="2">
      <t>トクテイ</t>
    </rPh>
    <rPh sb="2" eb="4">
      <t>ホケン</t>
    </rPh>
    <rPh sb="4" eb="6">
      <t>シドウ</t>
    </rPh>
    <rPh sb="6" eb="8">
      <t>ジッシ</t>
    </rPh>
    <rPh sb="8" eb="9">
      <t>リツ</t>
    </rPh>
    <phoneticPr fontId="2"/>
  </si>
  <si>
    <t>子どものための教育・保育給付の支給認定者数</t>
    <rPh sb="15" eb="17">
      <t>シキュウ</t>
    </rPh>
    <rPh sb="17" eb="19">
      <t>ニンテイ</t>
    </rPh>
    <rPh sb="19" eb="20">
      <t>シャ</t>
    </rPh>
    <rPh sb="20" eb="21">
      <t>スウ</t>
    </rPh>
    <phoneticPr fontId="2"/>
  </si>
  <si>
    <t>子育てのための施設等利用給付の新2号支給認定者数</t>
    <phoneticPr fontId="2"/>
  </si>
  <si>
    <t>保 育 所（市立）</t>
    <rPh sb="0" eb="1">
      <t>タモツ</t>
    </rPh>
    <rPh sb="2" eb="3">
      <t>イク</t>
    </rPh>
    <rPh sb="4" eb="5">
      <t>ショ</t>
    </rPh>
    <rPh sb="6" eb="7">
      <t>シ</t>
    </rPh>
    <rPh sb="7" eb="8">
      <t>タテ</t>
    </rPh>
    <phoneticPr fontId="2"/>
  </si>
  <si>
    <t>保 育 所（市立以外）</t>
    <rPh sb="0" eb="1">
      <t>ホ</t>
    </rPh>
    <rPh sb="2" eb="3">
      <t>イク</t>
    </rPh>
    <rPh sb="4" eb="5">
      <t>ショ</t>
    </rPh>
    <rPh sb="6" eb="7">
      <t>シ</t>
    </rPh>
    <rPh sb="7" eb="8">
      <t>リツ</t>
    </rPh>
    <rPh sb="8" eb="9">
      <t>イ</t>
    </rPh>
    <rPh sb="9" eb="10">
      <t>ソト</t>
    </rPh>
    <phoneticPr fontId="2"/>
  </si>
  <si>
    <t>認定こども園（市立）</t>
    <rPh sb="0" eb="2">
      <t>ニンテイ</t>
    </rPh>
    <rPh sb="5" eb="6">
      <t>エン</t>
    </rPh>
    <rPh sb="7" eb="9">
      <t>シリツ</t>
    </rPh>
    <phoneticPr fontId="2"/>
  </si>
  <si>
    <t>認定こども園（市立以外）</t>
    <rPh sb="0" eb="2">
      <t>ニンテイ</t>
    </rPh>
    <rPh sb="5" eb="6">
      <t>エン</t>
    </rPh>
    <rPh sb="7" eb="9">
      <t>シリツ</t>
    </rPh>
    <rPh sb="9" eb="11">
      <t>イガイ</t>
    </rPh>
    <phoneticPr fontId="2"/>
  </si>
  <si>
    <t>地域型保育事業者</t>
    <rPh sb="0" eb="3">
      <t>チイキガタ</t>
    </rPh>
    <rPh sb="3" eb="5">
      <t>ホイク</t>
    </rPh>
    <rPh sb="5" eb="7">
      <t>ジギョウ</t>
    </rPh>
    <rPh sb="7" eb="8">
      <t>シャ</t>
    </rPh>
    <phoneticPr fontId="2"/>
  </si>
  <si>
    <t>保育所入所
待機児童数</t>
    <rPh sb="0" eb="2">
      <t>ホイク</t>
    </rPh>
    <rPh sb="2" eb="3">
      <t>ショ</t>
    </rPh>
    <rPh sb="3" eb="5">
      <t>ニュウショ</t>
    </rPh>
    <rPh sb="6" eb="8">
      <t>タイキ</t>
    </rPh>
    <rPh sb="8" eb="10">
      <t>ジドウ</t>
    </rPh>
    <rPh sb="10" eb="11">
      <t>スウ</t>
    </rPh>
    <phoneticPr fontId="2"/>
  </si>
  <si>
    <t>市立児童館数</t>
    <rPh sb="0" eb="2">
      <t>シリツ</t>
    </rPh>
    <rPh sb="2" eb="5">
      <t>ジドウカン</t>
    </rPh>
    <rPh sb="5" eb="6">
      <t>スウ</t>
    </rPh>
    <phoneticPr fontId="2"/>
  </si>
  <si>
    <t>地域子育て支援拠点事業</t>
    <rPh sb="0" eb="2">
      <t>チイキ</t>
    </rPh>
    <rPh sb="2" eb="4">
      <t>コソダ</t>
    </rPh>
    <rPh sb="5" eb="7">
      <t>シエン</t>
    </rPh>
    <rPh sb="7" eb="9">
      <t>キョテン</t>
    </rPh>
    <rPh sb="9" eb="11">
      <t>ジギョウ</t>
    </rPh>
    <phoneticPr fontId="2"/>
  </si>
  <si>
    <t>病院数</t>
    <rPh sb="0" eb="2">
      <t>ビョウイン</t>
    </rPh>
    <rPh sb="2" eb="3">
      <t>スウ</t>
    </rPh>
    <phoneticPr fontId="2"/>
  </si>
  <si>
    <t>病床数（病院及び診療所）</t>
    <rPh sb="0" eb="2">
      <t>ビョウショウ</t>
    </rPh>
    <rPh sb="2" eb="3">
      <t>スウ</t>
    </rPh>
    <rPh sb="4" eb="6">
      <t>ビョウイン</t>
    </rPh>
    <rPh sb="6" eb="7">
      <t>オヨ</t>
    </rPh>
    <rPh sb="8" eb="11">
      <t>シンリョウジョ</t>
    </rPh>
    <phoneticPr fontId="2"/>
  </si>
  <si>
    <t>人口10万
人当たり
病床数</t>
    <rPh sb="0" eb="2">
      <t>ジンコウ</t>
    </rPh>
    <rPh sb="4" eb="5">
      <t>マン</t>
    </rPh>
    <phoneticPr fontId="2"/>
  </si>
  <si>
    <t>一般
診療所数</t>
    <phoneticPr fontId="2"/>
  </si>
  <si>
    <t>歯科
診療所数</t>
    <phoneticPr fontId="2"/>
  </si>
  <si>
    <t>医師数</t>
    <rPh sb="0" eb="2">
      <t>イシ</t>
    </rPh>
    <rPh sb="2" eb="3">
      <t>スウ</t>
    </rPh>
    <phoneticPr fontId="2"/>
  </si>
  <si>
    <t>歯科医師数</t>
    <rPh sb="0" eb="2">
      <t>シカ</t>
    </rPh>
    <rPh sb="2" eb="4">
      <t>イシ</t>
    </rPh>
    <rPh sb="4" eb="5">
      <t>スウ</t>
    </rPh>
    <phoneticPr fontId="2"/>
  </si>
  <si>
    <t>指定障害福祉
サービス等事業所数</t>
    <rPh sb="0" eb="2">
      <t>シテイ</t>
    </rPh>
    <rPh sb="2" eb="4">
      <t>ショウガイ</t>
    </rPh>
    <rPh sb="4" eb="6">
      <t>フクシ</t>
    </rPh>
    <rPh sb="11" eb="12">
      <t>トウ</t>
    </rPh>
    <rPh sb="12" eb="15">
      <t>ジギョウショ</t>
    </rPh>
    <rPh sb="15" eb="16">
      <t>スウ</t>
    </rPh>
    <phoneticPr fontId="2"/>
  </si>
  <si>
    <t>指定障害児
通所支援事業所数</t>
    <phoneticPr fontId="2"/>
  </si>
  <si>
    <t>身体障害者手帳
所持者数</t>
    <phoneticPr fontId="2"/>
  </si>
  <si>
    <t>療育手帳所持者数</t>
    <phoneticPr fontId="2"/>
  </si>
  <si>
    <t>精神障害者保健福祉
手帳所持者数</t>
    <rPh sb="5" eb="7">
      <t>ホケン</t>
    </rPh>
    <phoneticPr fontId="2"/>
  </si>
  <si>
    <t>保護率</t>
    <rPh sb="0" eb="2">
      <t>ホゴ</t>
    </rPh>
    <rPh sb="2" eb="3">
      <t>リツ</t>
    </rPh>
    <phoneticPr fontId="2"/>
  </si>
  <si>
    <t>定員</t>
    <rPh sb="0" eb="2">
      <t>テイイン</t>
    </rPh>
    <phoneticPr fontId="2"/>
  </si>
  <si>
    <t>（A型+Ｂ型）</t>
    <rPh sb="2" eb="3">
      <t>カタ</t>
    </rPh>
    <rPh sb="5" eb="6">
      <t>カタ</t>
    </rPh>
    <phoneticPr fontId="2"/>
  </si>
  <si>
    <t>定員</t>
    <rPh sb="0" eb="1">
      <t>サダム</t>
    </rPh>
    <rPh sb="1" eb="2">
      <t>イン</t>
    </rPh>
    <phoneticPr fontId="2"/>
  </si>
  <si>
    <t>人口
加入率</t>
    <rPh sb="0" eb="1">
      <t>ヒト</t>
    </rPh>
    <rPh sb="1" eb="2">
      <t>クチ</t>
    </rPh>
    <phoneticPr fontId="2"/>
  </si>
  <si>
    <t>世帯
加入率</t>
    <rPh sb="0" eb="1">
      <t>ヨ</t>
    </rPh>
    <rPh sb="1" eb="2">
      <t>オビ</t>
    </rPh>
    <phoneticPr fontId="2"/>
  </si>
  <si>
    <t>1号</t>
    <rPh sb="1" eb="2">
      <t>ゴウ</t>
    </rPh>
    <phoneticPr fontId="2"/>
  </si>
  <si>
    <t>2号</t>
    <rPh sb="1" eb="2">
      <t>ゴウ</t>
    </rPh>
    <phoneticPr fontId="2"/>
  </si>
  <si>
    <t>3号</t>
    <rPh sb="1" eb="2">
      <t>ゴウ</t>
    </rPh>
    <phoneticPr fontId="2"/>
  </si>
  <si>
    <t>利用定員</t>
    <phoneticPr fontId="2"/>
  </si>
  <si>
    <t>利用者数</t>
    <phoneticPr fontId="2"/>
  </si>
  <si>
    <t>利用定員</t>
    <rPh sb="0" eb="2">
      <t>リヨウ</t>
    </rPh>
    <rPh sb="2" eb="4">
      <t>テイイン</t>
    </rPh>
    <phoneticPr fontId="2"/>
  </si>
  <si>
    <t>うち市立</t>
    <rPh sb="2" eb="3">
      <t>シ</t>
    </rPh>
    <rPh sb="3" eb="4">
      <t>リツ</t>
    </rPh>
    <phoneticPr fontId="2"/>
  </si>
  <si>
    <t>（平成30年12
月31日現在）</t>
    <rPh sb="1" eb="3">
      <t>ヘイセイ</t>
    </rPh>
    <rPh sb="5" eb="6">
      <t>ネン</t>
    </rPh>
    <rPh sb="9" eb="10">
      <t>ガツ</t>
    </rPh>
    <rPh sb="12" eb="13">
      <t>ニチ</t>
    </rPh>
    <rPh sb="13" eb="15">
      <t>ゲンザイ</t>
    </rPh>
    <phoneticPr fontId="2"/>
  </si>
  <si>
    <t>人口10万人当たり</t>
    <rPh sb="0" eb="2">
      <t>ジンコウ</t>
    </rPh>
    <rPh sb="4" eb="5">
      <t>マン</t>
    </rPh>
    <phoneticPr fontId="2"/>
  </si>
  <si>
    <t>人口比</t>
    <rPh sb="0" eb="3">
      <t>ジンコウヒ</t>
    </rPh>
    <phoneticPr fontId="2"/>
  </si>
  <si>
    <t>箇所数</t>
    <rPh sb="0" eb="2">
      <t>カショ</t>
    </rPh>
    <rPh sb="2" eb="3">
      <t>スウ</t>
    </rPh>
    <phoneticPr fontId="2"/>
  </si>
  <si>
    <t>‰</t>
    <phoneticPr fontId="2"/>
  </si>
  <si>
    <t>人</t>
    <rPh sb="0" eb="1">
      <t>ニン</t>
    </rPh>
    <phoneticPr fontId="2"/>
  </si>
  <si>
    <t>床</t>
    <rPh sb="0" eb="1">
      <t>ユカ</t>
    </rPh>
    <phoneticPr fontId="2"/>
  </si>
  <si>
    <t>1,124人</t>
  </si>
  <si>
    <t>1人</t>
  </si>
  <si>
    <t>217人</t>
  </si>
  <si>
    <t>松本市</t>
    <rPh sb="0" eb="3">
      <t>マツモトシ</t>
    </rPh>
    <phoneticPr fontId="2"/>
  </si>
  <si>
    <t>17.2</t>
  </si>
  <si>
    <t>☐令和2年4月1日現在を記入</t>
    <rPh sb="1" eb="3">
      <t>レイワ</t>
    </rPh>
    <rPh sb="4" eb="5">
      <t>ネン</t>
    </rPh>
    <rPh sb="6" eb="7">
      <t>ガツ</t>
    </rPh>
    <rPh sb="8" eb="9">
      <t>ニチ</t>
    </rPh>
    <rPh sb="9" eb="11">
      <t>ゲンザイ</t>
    </rPh>
    <rPh sb="12" eb="14">
      <t>キニュウ</t>
    </rPh>
    <phoneticPr fontId="2"/>
  </si>
  <si>
    <t>☐第1号被保険者数は令和2年4月事業月報により、要介護（要支援）認定者数は令和2年3月月報により、それぞれ令和2年3月末現在を記入
☐保険給付費、保険料収納率は、令和元年度事業年報より記入
☐地域包括支援センター数は、令和2年4月1日現在を記入</t>
    <rPh sb="81" eb="83">
      <t>レイワ</t>
    </rPh>
    <rPh sb="83" eb="84">
      <t>ガン</t>
    </rPh>
    <rPh sb="84" eb="85">
      <t>ネン</t>
    </rPh>
    <rPh sb="85" eb="86">
      <t>ド</t>
    </rPh>
    <rPh sb="109" eb="111">
      <t>レイワ</t>
    </rPh>
    <rPh sb="112" eb="113">
      <t>ネン</t>
    </rPh>
    <phoneticPr fontId="2"/>
  </si>
  <si>
    <t>☐令和2年3月事業月報、令和元年度事業年報（年度末現在）による数値　(加入率は令和2年3月31日現在住民基本台帳人口、世帯数で算出)</t>
    <rPh sb="1" eb="3">
      <t>レイワ</t>
    </rPh>
    <rPh sb="4" eb="5">
      <t>ネン</t>
    </rPh>
    <rPh sb="6" eb="7">
      <t>ガツ</t>
    </rPh>
    <rPh sb="7" eb="9">
      <t>ジギョウ</t>
    </rPh>
    <rPh sb="9" eb="11">
      <t>ゲッポウ</t>
    </rPh>
    <rPh sb="12" eb="17">
      <t>レイワガンネンド</t>
    </rPh>
    <rPh sb="15" eb="16">
      <t>ネン</t>
    </rPh>
    <rPh sb="16" eb="17">
      <t>ド</t>
    </rPh>
    <rPh sb="17" eb="19">
      <t>ジギョウ</t>
    </rPh>
    <rPh sb="19" eb="21">
      <t>ネンポウ</t>
    </rPh>
    <rPh sb="22" eb="24">
      <t>ネンド</t>
    </rPh>
    <rPh sb="24" eb="25">
      <t>マツ</t>
    </rPh>
    <rPh sb="25" eb="27">
      <t>ゲンザイ</t>
    </rPh>
    <rPh sb="31" eb="33">
      <t>スウチ</t>
    </rPh>
    <rPh sb="39" eb="41">
      <t>レイワ</t>
    </rPh>
    <rPh sb="42" eb="43">
      <t>ネン</t>
    </rPh>
    <rPh sb="47" eb="48">
      <t>ニチ</t>
    </rPh>
    <rPh sb="48" eb="50">
      <t>ゲンザイ</t>
    </rPh>
    <rPh sb="59" eb="62">
      <t>セタイスウ</t>
    </rPh>
    <phoneticPr fontId="2"/>
  </si>
  <si>
    <t>☐令和2年4月1日現在を記入</t>
    <rPh sb="1" eb="3">
      <t>レイワ</t>
    </rPh>
    <rPh sb="4" eb="5">
      <t>ネン</t>
    </rPh>
    <phoneticPr fontId="2"/>
  </si>
  <si>
    <t>□子育てのための施設等利用給付の新2号支給認定者数には、「１号認定＋新２号認定」を含む</t>
  </si>
  <si>
    <t>☐保育所入所待機児童数は、厚生労働省「保育所等利用待機児童数調査」</t>
    <rPh sb="1" eb="3">
      <t>ホイク</t>
    </rPh>
    <rPh sb="3" eb="4">
      <t>ショ</t>
    </rPh>
    <rPh sb="4" eb="6">
      <t>ニュウショ</t>
    </rPh>
    <rPh sb="6" eb="8">
      <t>タイキ</t>
    </rPh>
    <rPh sb="8" eb="10">
      <t>ジドウ</t>
    </rPh>
    <rPh sb="10" eb="11">
      <t>スウ</t>
    </rPh>
    <rPh sb="13" eb="15">
      <t>コウセイ</t>
    </rPh>
    <rPh sb="15" eb="18">
      <t>ロウドウショウ</t>
    </rPh>
    <phoneticPr fontId="2"/>
  </si>
  <si>
    <t>☐指定障害福祉サービス等事業所数及び</t>
    <rPh sb="16" eb="17">
      <t>オヨ</t>
    </rPh>
    <phoneticPr fontId="2"/>
  </si>
  <si>
    <t>☐手帳所持者数は、令和2年４月１日現在を記入</t>
    <rPh sb="1" eb="3">
      <t>テチョウ</t>
    </rPh>
    <rPh sb="3" eb="6">
      <t>ショジシャ</t>
    </rPh>
    <rPh sb="6" eb="7">
      <t>スウ</t>
    </rPh>
    <rPh sb="9" eb="11">
      <t>レイワ</t>
    </rPh>
    <rPh sb="12" eb="13">
      <t>ネン</t>
    </rPh>
    <rPh sb="14" eb="15">
      <t>ガツ</t>
    </rPh>
    <rPh sb="16" eb="19">
      <t>ニチゲンザイ</t>
    </rPh>
    <rPh sb="20" eb="22">
      <t>キニュウ</t>
    </rPh>
    <phoneticPr fontId="2"/>
  </si>
  <si>
    <t>☐有料老人ホーム数は、令和2年4月1日現在の老人福祉法第29条第１項に規定する有料老人ホームの数を記入</t>
    <phoneticPr fontId="2"/>
  </si>
  <si>
    <t>☐被保険者１人当たり費用額・徴収率（現年度）は、令和元年度事業年報より記入</t>
    <rPh sb="24" eb="26">
      <t>レイワ</t>
    </rPh>
    <rPh sb="26" eb="27">
      <t>ガン</t>
    </rPh>
    <phoneticPr fontId="2"/>
  </si>
  <si>
    <t>☐支給認定者数（教育・保育給付）、支給人者数（施設等利用給付）の人口比については、</t>
    <rPh sb="1" eb="3">
      <t>シキュウ</t>
    </rPh>
    <rPh sb="3" eb="5">
      <t>ニンテイ</t>
    </rPh>
    <rPh sb="5" eb="6">
      <t>シャ</t>
    </rPh>
    <rPh sb="6" eb="7">
      <t>スウ</t>
    </rPh>
    <rPh sb="8" eb="10">
      <t>キョウイク</t>
    </rPh>
    <rPh sb="11" eb="13">
      <t>ホイク</t>
    </rPh>
    <rPh sb="13" eb="15">
      <t>キュウフ</t>
    </rPh>
    <rPh sb="17" eb="19">
      <t>シキュウ</t>
    </rPh>
    <rPh sb="19" eb="20">
      <t>ニン</t>
    </rPh>
    <rPh sb="20" eb="21">
      <t>シャ</t>
    </rPh>
    <rPh sb="21" eb="22">
      <t>スウ</t>
    </rPh>
    <rPh sb="23" eb="25">
      <t>シセツ</t>
    </rPh>
    <rPh sb="25" eb="26">
      <t>トウ</t>
    </rPh>
    <rPh sb="26" eb="28">
      <t>リヨウ</t>
    </rPh>
    <rPh sb="28" eb="30">
      <t>キュウフ</t>
    </rPh>
    <rPh sb="32" eb="35">
      <t>ジンコウヒ</t>
    </rPh>
    <phoneticPr fontId="2"/>
  </si>
  <si>
    <t>　で報告する数値（令和2年4月1日時点）</t>
    <rPh sb="9" eb="11">
      <t>レイワ</t>
    </rPh>
    <rPh sb="12" eb="13">
      <t>ネン</t>
    </rPh>
    <rPh sb="14" eb="15">
      <t>ガツ</t>
    </rPh>
    <rPh sb="16" eb="17">
      <t>ニチ</t>
    </rPh>
    <rPh sb="17" eb="19">
      <t>ジテン</t>
    </rPh>
    <phoneticPr fontId="2"/>
  </si>
  <si>
    <t>☐人口割合は、令和2年3月31日現在住民基本台帳人口で除した数値</t>
    <rPh sb="1" eb="3">
      <t>ジンコウ</t>
    </rPh>
    <rPh sb="3" eb="5">
      <t>ワリアイ</t>
    </rPh>
    <rPh sb="7" eb="9">
      <t>レイワ</t>
    </rPh>
    <rPh sb="10" eb="11">
      <t>ネン</t>
    </rPh>
    <rPh sb="18" eb="20">
      <t>ジュウミン</t>
    </rPh>
    <rPh sb="20" eb="22">
      <t>キホン</t>
    </rPh>
    <rPh sb="22" eb="24">
      <t>ダイチョウ</t>
    </rPh>
    <rPh sb="24" eb="26">
      <t>ジンコウ</t>
    </rPh>
    <rPh sb="27" eb="28">
      <t>ジョ</t>
    </rPh>
    <rPh sb="30" eb="32">
      <t>スウチ</t>
    </rPh>
    <phoneticPr fontId="2"/>
  </si>
  <si>
    <t>　指定障害児通所支援事業所数については、</t>
    <rPh sb="1" eb="3">
      <t>シテイ</t>
    </rPh>
    <rPh sb="3" eb="5">
      <t>ショウガイ</t>
    </rPh>
    <rPh sb="5" eb="6">
      <t>ジ</t>
    </rPh>
    <rPh sb="6" eb="8">
      <t>ツウショ</t>
    </rPh>
    <rPh sb="8" eb="10">
      <t>シエン</t>
    </rPh>
    <rPh sb="10" eb="13">
      <t>ジギョウショ</t>
    </rPh>
    <rPh sb="13" eb="14">
      <t>スウ</t>
    </rPh>
    <phoneticPr fontId="2"/>
  </si>
  <si>
    <t>☐指定介護サービス事業所数は、指定居宅サービス事業所、指定地域密着型サービス事業所、</t>
    <rPh sb="1" eb="3">
      <t>シテイ</t>
    </rPh>
    <rPh sb="3" eb="5">
      <t>カイゴ</t>
    </rPh>
    <rPh sb="9" eb="12">
      <t>ジギョウショ</t>
    </rPh>
    <rPh sb="12" eb="13">
      <t>スウ</t>
    </rPh>
    <phoneticPr fontId="2"/>
  </si>
  <si>
    <t>☐特定健康診査実施率および特定保健指導実施率は、令和元年度実施分法定報告値より記入</t>
    <rPh sb="1" eb="3">
      <t>トクテイ</t>
    </rPh>
    <rPh sb="3" eb="5">
      <t>ケンコウ</t>
    </rPh>
    <rPh sb="5" eb="7">
      <t>シンサ</t>
    </rPh>
    <rPh sb="7" eb="9">
      <t>ジッシ</t>
    </rPh>
    <rPh sb="9" eb="10">
      <t>リツ</t>
    </rPh>
    <rPh sb="13" eb="15">
      <t>トクテイ</t>
    </rPh>
    <rPh sb="15" eb="17">
      <t>ホケン</t>
    </rPh>
    <rPh sb="17" eb="19">
      <t>シドウ</t>
    </rPh>
    <rPh sb="19" eb="21">
      <t>ジッシ</t>
    </rPh>
    <rPh sb="21" eb="22">
      <t>リツ</t>
    </rPh>
    <rPh sb="24" eb="26">
      <t>レイワ</t>
    </rPh>
    <rPh sb="26" eb="27">
      <t>ガン</t>
    </rPh>
    <rPh sb="39" eb="41">
      <t>キニュウ</t>
    </rPh>
    <phoneticPr fontId="2"/>
  </si>
  <si>
    <t>　1号・・・3～5歳児童数に占める割合を記入</t>
    <rPh sb="2" eb="3">
      <t>ゴウ</t>
    </rPh>
    <rPh sb="9" eb="10">
      <t>サイ</t>
    </rPh>
    <rPh sb="10" eb="12">
      <t>ジドウ</t>
    </rPh>
    <rPh sb="12" eb="13">
      <t>スウ</t>
    </rPh>
    <rPh sb="14" eb="15">
      <t>シ</t>
    </rPh>
    <rPh sb="17" eb="19">
      <t>ワリアイ</t>
    </rPh>
    <rPh sb="20" eb="22">
      <t>キニュウ</t>
    </rPh>
    <phoneticPr fontId="2"/>
  </si>
  <si>
    <t>☐地域子育て支援拠点事業の実施箇所数は、令和2年4月1日現在を記入</t>
    <rPh sb="1" eb="3">
      <t>チイキ</t>
    </rPh>
    <rPh sb="3" eb="5">
      <t>コソダ</t>
    </rPh>
    <rPh sb="6" eb="8">
      <t>シエン</t>
    </rPh>
    <rPh sb="8" eb="10">
      <t>キョテン</t>
    </rPh>
    <rPh sb="10" eb="12">
      <t>ジギョウ</t>
    </rPh>
    <rPh sb="13" eb="15">
      <t>ジッシ</t>
    </rPh>
    <rPh sb="15" eb="17">
      <t>カショ</t>
    </rPh>
    <rPh sb="17" eb="18">
      <t>スウ</t>
    </rPh>
    <rPh sb="20" eb="22">
      <t>レイワ</t>
    </rPh>
    <rPh sb="23" eb="24">
      <t>ネン</t>
    </rPh>
    <rPh sb="25" eb="26">
      <t>ガツ</t>
    </rPh>
    <rPh sb="26" eb="28">
      <t>ツイタチ</t>
    </rPh>
    <rPh sb="28" eb="30">
      <t>ゲンザイ</t>
    </rPh>
    <rPh sb="31" eb="33">
      <t>キニュウ</t>
    </rPh>
    <phoneticPr fontId="2"/>
  </si>
  <si>
    <t>☐医師数・歯科医師数は、平成30年医師・歯科医師・薬剤師統計より記入</t>
    <rPh sb="1" eb="3">
      <t>イシ</t>
    </rPh>
    <rPh sb="3" eb="4">
      <t>スウ</t>
    </rPh>
    <rPh sb="5" eb="7">
      <t>シカ</t>
    </rPh>
    <rPh sb="7" eb="9">
      <t>イシ</t>
    </rPh>
    <rPh sb="9" eb="10">
      <t>スウ</t>
    </rPh>
    <rPh sb="12" eb="14">
      <t>ヘイセイ</t>
    </rPh>
    <rPh sb="16" eb="17">
      <t>ネン</t>
    </rPh>
    <rPh sb="17" eb="19">
      <t>イシ</t>
    </rPh>
    <rPh sb="20" eb="22">
      <t>シカ</t>
    </rPh>
    <rPh sb="22" eb="24">
      <t>イシ</t>
    </rPh>
    <rPh sb="25" eb="28">
      <t>ヤクザイシ</t>
    </rPh>
    <rPh sb="28" eb="30">
      <t>トウケイ</t>
    </rPh>
    <rPh sb="32" eb="34">
      <t>キニュウ</t>
    </rPh>
    <phoneticPr fontId="2"/>
  </si>
  <si>
    <t>　令和元年社会福祉施設等調査より記入</t>
    <phoneticPr fontId="2"/>
  </si>
  <si>
    <t>　指定居宅介護支援事業所、指定介護予防サービス事業所、</t>
    <phoneticPr fontId="2"/>
  </si>
  <si>
    <t>　2号、新2号・・・3～5歳児童数に占める割合を記入</t>
    <rPh sb="2" eb="3">
      <t>ゴウ</t>
    </rPh>
    <rPh sb="4" eb="5">
      <t>シン</t>
    </rPh>
    <rPh sb="6" eb="7">
      <t>ゴウ</t>
    </rPh>
    <rPh sb="13" eb="14">
      <t>サイ</t>
    </rPh>
    <rPh sb="14" eb="16">
      <t>ジドウ</t>
    </rPh>
    <rPh sb="16" eb="17">
      <t>スウ</t>
    </rPh>
    <rPh sb="18" eb="19">
      <t>シ</t>
    </rPh>
    <rPh sb="21" eb="23">
      <t>ワリアイ</t>
    </rPh>
    <rPh sb="24" eb="26">
      <t>キニュウ</t>
    </rPh>
    <phoneticPr fontId="2"/>
  </si>
  <si>
    <t>　（対象とする具体のサービスについては記入要領を参照）</t>
    <phoneticPr fontId="2"/>
  </si>
  <si>
    <t>　指定地域密着型介護予防サービス事業所、指定介護予防支援事業所、総合事業事業所の数を記入（施設みなしを含み、</t>
    <rPh sb="32" eb="34">
      <t>ソウゴウ</t>
    </rPh>
    <rPh sb="34" eb="36">
      <t>ジギョウ</t>
    </rPh>
    <rPh sb="36" eb="38">
      <t>ジギョウ</t>
    </rPh>
    <rPh sb="38" eb="39">
      <t>ショ</t>
    </rPh>
    <phoneticPr fontId="2"/>
  </si>
  <si>
    <t>　3号・・・0～2歳児童数に占める割合を記入</t>
    <rPh sb="2" eb="3">
      <t>ゴウ</t>
    </rPh>
    <rPh sb="9" eb="10">
      <t>サイ</t>
    </rPh>
    <rPh sb="10" eb="12">
      <t>ジドウ</t>
    </rPh>
    <rPh sb="12" eb="13">
      <t>スウ</t>
    </rPh>
    <rPh sb="14" eb="15">
      <t>シ</t>
    </rPh>
    <rPh sb="17" eb="19">
      <t>ワリアイ</t>
    </rPh>
    <rPh sb="20" eb="22">
      <t>キニュウ</t>
    </rPh>
    <phoneticPr fontId="2"/>
  </si>
  <si>
    <t>　健康保険法の規定によるみなし指定の事業所を含まない）</t>
    <phoneticPr fontId="2"/>
  </si>
  <si>
    <t>　※複数のサービスを行っている場合は、サービス毎に事業所をカウント。</t>
    <phoneticPr fontId="2"/>
  </si>
  <si>
    <t>　　（例）短期入所生活介護・介護予防短期入所生活介護を一体的に運営している事業所は「２」とカウント。</t>
    <rPh sb="37" eb="38">
      <t>コト</t>
    </rPh>
    <phoneticPr fontId="2"/>
  </si>
  <si>
    <t>　※有料老人ホームでカウントされている特定施設入居者生活介護等を含む　</t>
    <phoneticPr fontId="2"/>
  </si>
  <si>
    <t>４　環　境</t>
    <rPh sb="2" eb="3">
      <t>ワ</t>
    </rPh>
    <rPh sb="4" eb="5">
      <t>サカイ</t>
    </rPh>
    <phoneticPr fontId="2"/>
  </si>
  <si>
    <t>ごみ
総排出量</t>
    <phoneticPr fontId="2"/>
  </si>
  <si>
    <t>一人一日
あたり
排出量</t>
    <phoneticPr fontId="2"/>
  </si>
  <si>
    <t>一人一日
あたり
排出量
（家庭系）</t>
    <rPh sb="14" eb="16">
      <t>カテイ</t>
    </rPh>
    <rPh sb="16" eb="17">
      <t>ケイ</t>
    </rPh>
    <phoneticPr fontId="2"/>
  </si>
  <si>
    <t>リサイクル率</t>
    <rPh sb="5" eb="6">
      <t>リツ</t>
    </rPh>
    <phoneticPr fontId="2"/>
  </si>
  <si>
    <t>直接
搬入量</t>
    <rPh sb="0" eb="2">
      <t>チョクセツ</t>
    </rPh>
    <rPh sb="3" eb="5">
      <t>ハンニュウ</t>
    </rPh>
    <rPh sb="5" eb="6">
      <t>リョウ</t>
    </rPh>
    <phoneticPr fontId="2"/>
  </si>
  <si>
    <t>収集量</t>
    <rPh sb="0" eb="2">
      <t>シュウシュウ</t>
    </rPh>
    <rPh sb="2" eb="3">
      <t>リョウ</t>
    </rPh>
    <phoneticPr fontId="2"/>
  </si>
  <si>
    <t>集団
回収量</t>
    <rPh sb="0" eb="2">
      <t>シュウダン</t>
    </rPh>
    <rPh sb="3" eb="5">
      <t>カイシュウ</t>
    </rPh>
    <rPh sb="5" eb="6">
      <t>リョウ</t>
    </rPh>
    <phoneticPr fontId="2"/>
  </si>
  <si>
    <t>混合</t>
  </si>
  <si>
    <t>可燃</t>
  </si>
  <si>
    <t>不燃</t>
  </si>
  <si>
    <t>資源</t>
  </si>
  <si>
    <t>その他</t>
  </si>
  <si>
    <t>粗大</t>
  </si>
  <si>
    <t>トン</t>
    <phoneticPr fontId="2"/>
  </si>
  <si>
    <t>(g/人日）</t>
    <phoneticPr fontId="2"/>
  </si>
  <si>
    <t>（１人１日当たりのごみ排出量及び１人１日当たりの家庭系ごみ排出量の詳細は、循環型社会形成推進基本計画を参照）</t>
    <rPh sb="14" eb="15">
      <t>オヨ</t>
    </rPh>
    <phoneticPr fontId="2"/>
  </si>
  <si>
    <t>☐リサイクル率・・（〔直接資源化量+中間処理後再生利用量+集団回収量〕/〔ごみ処理量+集団回収量〕）×100</t>
  </si>
  <si>
    <t>５　産　業</t>
    <rPh sb="2" eb="3">
      <t>サン</t>
    </rPh>
    <rPh sb="4" eb="5">
      <t>ギョウ</t>
    </rPh>
    <phoneticPr fontId="2"/>
  </si>
  <si>
    <t xml:space="preserve">項目 </t>
    <phoneticPr fontId="2"/>
  </si>
  <si>
    <t>産業別従業者数（平成28年経済センサス活動調査）</t>
    <rPh sb="0" eb="2">
      <t>サンギョウ</t>
    </rPh>
    <rPh sb="2" eb="3">
      <t>ベツ</t>
    </rPh>
    <rPh sb="3" eb="4">
      <t>ジュウ</t>
    </rPh>
    <rPh sb="4" eb="7">
      <t>ギョウシャスウ</t>
    </rPh>
    <rPh sb="6" eb="7">
      <t>スウ</t>
    </rPh>
    <rPh sb="19" eb="21">
      <t>カツドウ</t>
    </rPh>
    <rPh sb="21" eb="23">
      <t>チョウサ</t>
    </rPh>
    <phoneticPr fontId="2"/>
  </si>
  <si>
    <t>農業（2020年農林業センサス）</t>
    <rPh sb="0" eb="2">
      <t>ノウギョウ</t>
    </rPh>
    <rPh sb="7" eb="8">
      <t>ネン</t>
    </rPh>
    <rPh sb="8" eb="11">
      <t>ノウリンギョウ</t>
    </rPh>
    <phoneticPr fontId="2"/>
  </si>
  <si>
    <t>工業（平成28年経済センサス活動調査）</t>
    <rPh sb="0" eb="2">
      <t>コウギョウ</t>
    </rPh>
    <rPh sb="8" eb="10">
      <t>ケイザイ</t>
    </rPh>
    <rPh sb="14" eb="16">
      <t>カツドウ</t>
    </rPh>
    <rPh sb="16" eb="18">
      <t>チョウサ</t>
    </rPh>
    <phoneticPr fontId="2"/>
  </si>
  <si>
    <t>小売業、卸売業（平成28年経済センサス活動調査）</t>
    <rPh sb="0" eb="3">
      <t>コウリギョウ</t>
    </rPh>
    <rPh sb="4" eb="6">
      <t>オロシウ</t>
    </rPh>
    <rPh sb="6" eb="7">
      <t>ギョウ</t>
    </rPh>
    <phoneticPr fontId="2"/>
  </si>
  <si>
    <t>観　光</t>
    <rPh sb="0" eb="1">
      <t>ミ</t>
    </rPh>
    <rPh sb="2" eb="3">
      <t>ミツ</t>
    </rPh>
    <phoneticPr fontId="2"/>
  </si>
  <si>
    <t>（平成28年経済センサス活動調査）</t>
    <rPh sb="1" eb="3">
      <t>ヘイセイ</t>
    </rPh>
    <rPh sb="5" eb="6">
      <t>ネン</t>
    </rPh>
    <rPh sb="6" eb="8">
      <t>ケイザイ</t>
    </rPh>
    <rPh sb="12" eb="14">
      <t>カツドウ</t>
    </rPh>
    <rPh sb="14" eb="16">
      <t>チョウサ</t>
    </rPh>
    <phoneticPr fontId="2"/>
  </si>
  <si>
    <t>第１次産業</t>
    <rPh sb="0" eb="1">
      <t>ダイ</t>
    </rPh>
    <rPh sb="2" eb="3">
      <t>ジ</t>
    </rPh>
    <rPh sb="3" eb="5">
      <t>サンギョウ</t>
    </rPh>
    <phoneticPr fontId="2"/>
  </si>
  <si>
    <t>第２次産業</t>
    <rPh sb="0" eb="1">
      <t>ダイ</t>
    </rPh>
    <rPh sb="2" eb="3">
      <t>ジ</t>
    </rPh>
    <rPh sb="3" eb="5">
      <t>サンギョウ</t>
    </rPh>
    <phoneticPr fontId="2"/>
  </si>
  <si>
    <t>第３次産業</t>
    <rPh sb="0" eb="1">
      <t>ダイ</t>
    </rPh>
    <rPh sb="2" eb="3">
      <t>ジ</t>
    </rPh>
    <rPh sb="3" eb="5">
      <t>サンギョウ</t>
    </rPh>
    <phoneticPr fontId="2"/>
  </si>
  <si>
    <t>経営耕地
総面積</t>
    <rPh sb="5" eb="6">
      <t>ソウ</t>
    </rPh>
    <phoneticPr fontId="2"/>
  </si>
  <si>
    <t>農業
経営体</t>
  </si>
  <si>
    <t>事業所数</t>
    <rPh sb="0" eb="3">
      <t>ジギョウショ</t>
    </rPh>
    <rPh sb="3" eb="4">
      <t>スウ</t>
    </rPh>
    <phoneticPr fontId="2"/>
  </si>
  <si>
    <t>製造品出荷額等</t>
    <rPh sb="0" eb="3">
      <t>セイゾウヒン</t>
    </rPh>
    <rPh sb="3" eb="5">
      <t>シュッカ</t>
    </rPh>
    <rPh sb="5" eb="6">
      <t>ガク</t>
    </rPh>
    <rPh sb="6" eb="7">
      <t>トウ</t>
    </rPh>
    <phoneticPr fontId="2"/>
  </si>
  <si>
    <t>年間商品販売額</t>
    <phoneticPr fontId="2"/>
  </si>
  <si>
    <t>観光客
入込み客数</t>
    <rPh sb="0" eb="3">
      <t>カンコウキャク</t>
    </rPh>
    <rPh sb="4" eb="6">
      <t>イリコ</t>
    </rPh>
    <rPh sb="7" eb="9">
      <t>キャクスウ</t>
    </rPh>
    <phoneticPr fontId="2"/>
  </si>
  <si>
    <t>ホテル・
宿泊室数</t>
    <phoneticPr fontId="2"/>
  </si>
  <si>
    <t>一次</t>
    <rPh sb="0" eb="2">
      <t>イチジ</t>
    </rPh>
    <phoneticPr fontId="2"/>
  </si>
  <si>
    <t>二次</t>
    <rPh sb="0" eb="2">
      <t>ニジ</t>
    </rPh>
    <phoneticPr fontId="2"/>
  </si>
  <si>
    <t>三次</t>
    <rPh sb="0" eb="2">
      <t>サンジ</t>
    </rPh>
    <phoneticPr fontId="2"/>
  </si>
  <si>
    <t>構成比</t>
    <rPh sb="0" eb="3">
      <t>コウセイヒ</t>
    </rPh>
    <phoneticPr fontId="2"/>
  </si>
  <si>
    <t>前回からの
伸び率</t>
    <rPh sb="0" eb="2">
      <t>ゼンカイ</t>
    </rPh>
    <rPh sb="6" eb="7">
      <t>ノ</t>
    </rPh>
    <rPh sb="8" eb="9">
      <t>リツ</t>
    </rPh>
    <phoneticPr fontId="2"/>
  </si>
  <si>
    <t>１事業所当たり
出荷額等</t>
    <rPh sb="1" eb="4">
      <t>ジギョウショ</t>
    </rPh>
    <rPh sb="4" eb="5">
      <t>ア</t>
    </rPh>
    <rPh sb="8" eb="10">
      <t>シュッカ</t>
    </rPh>
    <rPh sb="10" eb="11">
      <t>ガク</t>
    </rPh>
    <rPh sb="11" eb="12">
      <t>トウ</t>
    </rPh>
    <phoneticPr fontId="2"/>
  </si>
  <si>
    <t>１事業所当たり
売上額</t>
    <rPh sb="1" eb="4">
      <t>ジギョウショ</t>
    </rPh>
    <rPh sb="4" eb="5">
      <t>ア</t>
    </rPh>
    <rPh sb="8" eb="10">
      <t>ウリアゲ</t>
    </rPh>
    <rPh sb="10" eb="11">
      <t>ガク</t>
    </rPh>
    <phoneticPr fontId="2"/>
  </si>
  <si>
    <t xml:space="preserve"> 市名</t>
    <phoneticPr fontId="2"/>
  </si>
  <si>
    <t>所</t>
    <rPh sb="0" eb="1">
      <t>トコロ</t>
    </rPh>
    <phoneticPr fontId="2"/>
  </si>
  <si>
    <t>ha</t>
  </si>
  <si>
    <t>経営体数</t>
    <rPh sb="0" eb="2">
      <t>ケイエイ</t>
    </rPh>
    <rPh sb="2" eb="3">
      <t>カラダ</t>
    </rPh>
    <rPh sb="3" eb="4">
      <t>カズ</t>
    </rPh>
    <phoneticPr fontId="2"/>
  </si>
  <si>
    <t>所</t>
    <rPh sb="0" eb="1">
      <t>ショ</t>
    </rPh>
    <phoneticPr fontId="2"/>
  </si>
  <si>
    <t>百万円</t>
    <rPh sb="0" eb="3">
      <t>ヒャクマンエン</t>
    </rPh>
    <phoneticPr fontId="2"/>
  </si>
  <si>
    <t>万円</t>
    <rPh sb="0" eb="1">
      <t>マン</t>
    </rPh>
    <rPh sb="1" eb="2">
      <t>エン</t>
    </rPh>
    <phoneticPr fontId="2"/>
  </si>
  <si>
    <t>室</t>
    <rPh sb="0" eb="1">
      <t>シツ</t>
    </rPh>
    <phoneticPr fontId="2"/>
  </si>
  <si>
    <t>☐産業別事業所数及び産業別従業者数は、平成28年経済センサス活動調査より記入　</t>
    <rPh sb="1" eb="3">
      <t>サンギョウ</t>
    </rPh>
    <rPh sb="3" eb="4">
      <t>ベツ</t>
    </rPh>
    <rPh sb="4" eb="7">
      <t>ジギョウショ</t>
    </rPh>
    <rPh sb="7" eb="8">
      <t>スウ</t>
    </rPh>
    <rPh sb="8" eb="9">
      <t>オヨ</t>
    </rPh>
    <rPh sb="13" eb="15">
      <t>ジュウギョウ</t>
    </rPh>
    <rPh sb="30" eb="32">
      <t>カツドウ</t>
    </rPh>
    <rPh sb="32" eb="34">
      <t>チョウサ</t>
    </rPh>
    <phoneticPr fontId="2"/>
  </si>
  <si>
    <t>☐事業所数は平成28年経済センサス活動調査（製造業・市区町村
　編）により記入</t>
    <phoneticPr fontId="2"/>
  </si>
  <si>
    <t>☐卸売業、小売業は、平成28年経済センサス活動調査より記入</t>
    <rPh sb="2" eb="3">
      <t>バイ</t>
    </rPh>
    <rPh sb="3" eb="4">
      <t>ギョウ</t>
    </rPh>
    <phoneticPr fontId="2"/>
  </si>
  <si>
    <t>☐卸売業、小売業の前回からの伸び率は、平成26年商業統計調査との比較により記入</t>
    <rPh sb="1" eb="4">
      <t>オロシウリギョウ</t>
    </rPh>
    <rPh sb="5" eb="8">
      <t>コウリギョウ</t>
    </rPh>
    <rPh sb="9" eb="11">
      <t>ゼンカイ</t>
    </rPh>
    <rPh sb="14" eb="15">
      <t>ノ</t>
    </rPh>
    <rPh sb="16" eb="17">
      <t>リツ</t>
    </rPh>
    <rPh sb="19" eb="21">
      <t>ヘイセイ</t>
    </rPh>
    <rPh sb="23" eb="24">
      <t>ネン</t>
    </rPh>
    <rPh sb="24" eb="26">
      <t>ショウギョウ</t>
    </rPh>
    <rPh sb="26" eb="28">
      <t>トウケイ</t>
    </rPh>
    <rPh sb="28" eb="30">
      <t>チョウサ</t>
    </rPh>
    <rPh sb="32" eb="34">
      <t>ヒカク</t>
    </rPh>
    <rPh sb="37" eb="39">
      <t>キニュウ</t>
    </rPh>
    <phoneticPr fontId="2"/>
  </si>
  <si>
    <t>☐事業所数の前回からの伸び率は、平成26年工業統計調査との
　比較により記入</t>
    <phoneticPr fontId="2"/>
  </si>
  <si>
    <t>☐観光客入込み客数は、令和元年中の延べ人数（宿泊と日帰り両方含む）</t>
    <rPh sb="1" eb="4">
      <t>カンコウキャク</t>
    </rPh>
    <rPh sb="4" eb="6">
      <t>イリコ</t>
    </rPh>
    <rPh sb="7" eb="9">
      <t>キャクスウ</t>
    </rPh>
    <rPh sb="11" eb="13">
      <t>レイワ</t>
    </rPh>
    <rPh sb="13" eb="15">
      <t>ガンネン</t>
    </rPh>
    <rPh sb="14" eb="15">
      <t>ネン</t>
    </rPh>
    <rPh sb="15" eb="16">
      <t>チュウ</t>
    </rPh>
    <rPh sb="17" eb="18">
      <t>ノ</t>
    </rPh>
    <rPh sb="19" eb="21">
      <t>ニンズウ</t>
    </rPh>
    <rPh sb="22" eb="24">
      <t>シュクハク</t>
    </rPh>
    <rPh sb="25" eb="27">
      <t>ヒガエ</t>
    </rPh>
    <rPh sb="28" eb="30">
      <t>リョウホウ</t>
    </rPh>
    <rPh sb="30" eb="31">
      <t>フク</t>
    </rPh>
    <phoneticPr fontId="2"/>
  </si>
  <si>
    <t>☐ホテル・旅館客室数は、厚生労働省「衛生行政報告例」で報告する数値（令和2年3月31日現在）</t>
    <rPh sb="5" eb="7">
      <t>リョカン</t>
    </rPh>
    <rPh sb="7" eb="10">
      <t>キャクシツスウ</t>
    </rPh>
    <rPh sb="12" eb="14">
      <t>コウセイ</t>
    </rPh>
    <rPh sb="14" eb="17">
      <t>ロウドウショウ</t>
    </rPh>
    <rPh sb="18" eb="20">
      <t>エイセイ</t>
    </rPh>
    <rPh sb="20" eb="22">
      <t>ギョウセイ</t>
    </rPh>
    <rPh sb="22" eb="25">
      <t>ホウコクレイ</t>
    </rPh>
    <rPh sb="27" eb="29">
      <t>ホウコク</t>
    </rPh>
    <rPh sb="31" eb="33">
      <t>スウチ</t>
    </rPh>
    <rPh sb="34" eb="36">
      <t>レイワ</t>
    </rPh>
    <rPh sb="37" eb="38">
      <t>ネン</t>
    </rPh>
    <rPh sb="39" eb="40">
      <t>ガツ</t>
    </rPh>
    <rPh sb="42" eb="45">
      <t>ニチゲンザイ</t>
    </rPh>
    <phoneticPr fontId="2"/>
  </si>
  <si>
    <t>☐製造品出荷額等は、平成28年経済センサス活動調査（製造業・
　市区町村編）により記入</t>
    <phoneticPr fontId="2"/>
  </si>
  <si>
    <t>６　都　市</t>
    <rPh sb="2" eb="3">
      <t>ミヤコ</t>
    </rPh>
    <rPh sb="4" eb="5">
      <t>シ</t>
    </rPh>
    <phoneticPr fontId="2"/>
  </si>
  <si>
    <t>《道路》</t>
    <rPh sb="1" eb="3">
      <t>ドウロ</t>
    </rPh>
    <phoneticPr fontId="2"/>
  </si>
  <si>
    <t>《公園》</t>
    <rPh sb="1" eb="3">
      <t>コウエン</t>
    </rPh>
    <phoneticPr fontId="2"/>
  </si>
  <si>
    <t>《下水道》</t>
    <rPh sb="1" eb="4">
      <t>ゲスイドウ</t>
    </rPh>
    <phoneticPr fontId="2"/>
  </si>
  <si>
    <t>《上水道》</t>
    <rPh sb="1" eb="4">
      <t>ジョウスイドウ</t>
    </rPh>
    <phoneticPr fontId="2"/>
  </si>
  <si>
    <t>《住宅》</t>
    <rPh sb="1" eb="3">
      <t>ジュウタク</t>
    </rPh>
    <phoneticPr fontId="2"/>
  </si>
  <si>
    <t>項目</t>
    <phoneticPr fontId="2"/>
  </si>
  <si>
    <t>路線数</t>
    <rPh sb="0" eb="2">
      <t>ロセン</t>
    </rPh>
    <rPh sb="2" eb="3">
      <t>スウ</t>
    </rPh>
    <phoneticPr fontId="2"/>
  </si>
  <si>
    <t>道路総延長</t>
    <rPh sb="0" eb="2">
      <t>ドウロ</t>
    </rPh>
    <rPh sb="2" eb="5">
      <t>ソウエンチョウ</t>
    </rPh>
    <phoneticPr fontId="2"/>
  </si>
  <si>
    <t>道路総延長（内訳）</t>
    <rPh sb="0" eb="2">
      <t>ドウロ</t>
    </rPh>
    <rPh sb="2" eb="3">
      <t>ソウ</t>
    </rPh>
    <rPh sb="3" eb="5">
      <t>エンチョウ</t>
    </rPh>
    <rPh sb="6" eb="8">
      <t>ウチワケ</t>
    </rPh>
    <phoneticPr fontId="2"/>
  </si>
  <si>
    <t>都市公園数</t>
    <rPh sb="0" eb="2">
      <t>トシ</t>
    </rPh>
    <rPh sb="2" eb="4">
      <t>コウエン</t>
    </rPh>
    <rPh sb="4" eb="5">
      <t>スウ</t>
    </rPh>
    <phoneticPr fontId="2"/>
  </si>
  <si>
    <t>市民１人
当たり
面積</t>
    <rPh sb="0" eb="2">
      <t>シミン</t>
    </rPh>
    <rPh sb="3" eb="4">
      <t>ニン</t>
    </rPh>
    <rPh sb="5" eb="6">
      <t>ア</t>
    </rPh>
    <rPh sb="9" eb="11">
      <t>メンセキ</t>
    </rPh>
    <phoneticPr fontId="2"/>
  </si>
  <si>
    <t>下水
処理
場数</t>
    <rPh sb="0" eb="2">
      <t>ゲスイ</t>
    </rPh>
    <rPh sb="3" eb="5">
      <t>ショリ</t>
    </rPh>
    <rPh sb="6" eb="8">
      <t>バカズ</t>
    </rPh>
    <phoneticPr fontId="2"/>
  </si>
  <si>
    <t>処理区域内人口</t>
    <rPh sb="0" eb="2">
      <t>ショリ</t>
    </rPh>
    <rPh sb="2" eb="5">
      <t>クイキナイ</t>
    </rPh>
    <rPh sb="5" eb="7">
      <t>ジンコウ</t>
    </rPh>
    <phoneticPr fontId="2"/>
  </si>
  <si>
    <t>年間有収水量</t>
    <rPh sb="0" eb="2">
      <t>ネンカン</t>
    </rPh>
    <rPh sb="2" eb="3">
      <t>ユウ</t>
    </rPh>
    <rPh sb="3" eb="4">
      <t>シュウ</t>
    </rPh>
    <rPh sb="4" eb="5">
      <t>スイ</t>
    </rPh>
    <rPh sb="5" eb="6">
      <t>リョウ</t>
    </rPh>
    <phoneticPr fontId="2"/>
  </si>
  <si>
    <t>給水人口</t>
    <rPh sb="0" eb="2">
      <t>キュウスイ</t>
    </rPh>
    <rPh sb="2" eb="4">
      <t>ジンコウ</t>
    </rPh>
    <phoneticPr fontId="2"/>
  </si>
  <si>
    <t>１人当た
り年間
使用量</t>
    <phoneticPr fontId="2"/>
  </si>
  <si>
    <t>管路の
耐震管
率</t>
    <rPh sb="0" eb="2">
      <t>カンロ</t>
    </rPh>
    <rPh sb="4" eb="6">
      <t>タイシン</t>
    </rPh>
    <rPh sb="6" eb="7">
      <t>カン</t>
    </rPh>
    <rPh sb="8" eb="9">
      <t>リツ</t>
    </rPh>
    <phoneticPr fontId="2"/>
  </si>
  <si>
    <t>浄水施設
の耐震化
率</t>
    <rPh sb="0" eb="2">
      <t>ジョウスイ</t>
    </rPh>
    <rPh sb="2" eb="4">
      <t>シセツ</t>
    </rPh>
    <rPh sb="6" eb="9">
      <t>タイシンカ</t>
    </rPh>
    <rPh sb="10" eb="11">
      <t>リツ</t>
    </rPh>
    <phoneticPr fontId="2"/>
  </si>
  <si>
    <t>配水池
の耐震化
率</t>
    <rPh sb="0" eb="2">
      <t>ハイスイ</t>
    </rPh>
    <rPh sb="2" eb="3">
      <t>イケ</t>
    </rPh>
    <rPh sb="5" eb="7">
      <t>タイシン</t>
    </rPh>
    <rPh sb="7" eb="8">
      <t>ケ</t>
    </rPh>
    <rPh sb="9" eb="10">
      <t>リツ</t>
    </rPh>
    <phoneticPr fontId="2"/>
  </si>
  <si>
    <t>新設住宅着工戸数</t>
    <phoneticPr fontId="2"/>
  </si>
  <si>
    <t>公　共　賃　貸　住　宅　数</t>
    <rPh sb="0" eb="1">
      <t>コウ</t>
    </rPh>
    <rPh sb="2" eb="3">
      <t>トモ</t>
    </rPh>
    <rPh sb="4" eb="5">
      <t>チン</t>
    </rPh>
    <rPh sb="6" eb="7">
      <t>カシ</t>
    </rPh>
    <rPh sb="8" eb="9">
      <t>ジュウ</t>
    </rPh>
    <rPh sb="10" eb="11">
      <t>タク</t>
    </rPh>
    <rPh sb="12" eb="13">
      <t>スウ</t>
    </rPh>
    <phoneticPr fontId="2"/>
  </si>
  <si>
    <t>サービス付き
高齢者向け住宅数</t>
    <rPh sb="4" eb="5">
      <t>ツ</t>
    </rPh>
    <rPh sb="7" eb="10">
      <t>コウレイシャ</t>
    </rPh>
    <rPh sb="10" eb="11">
      <t>ム</t>
    </rPh>
    <rPh sb="12" eb="14">
      <t>ジュウタク</t>
    </rPh>
    <rPh sb="14" eb="15">
      <t>スウ</t>
    </rPh>
    <phoneticPr fontId="2"/>
  </si>
  <si>
    <t>国道</t>
    <rPh sb="0" eb="1">
      <t>クニ</t>
    </rPh>
    <rPh sb="1" eb="2">
      <t>ミチ</t>
    </rPh>
    <phoneticPr fontId="2"/>
  </si>
  <si>
    <t>都道府県道</t>
    <rPh sb="0" eb="2">
      <t>トドウ</t>
    </rPh>
    <rPh sb="2" eb="4">
      <t>フケン</t>
    </rPh>
    <rPh sb="4" eb="5">
      <t>ミチ</t>
    </rPh>
    <phoneticPr fontId="2"/>
  </si>
  <si>
    <t>市道</t>
    <rPh sb="0" eb="1">
      <t>シ</t>
    </rPh>
    <rPh sb="1" eb="2">
      <t>ドウ</t>
    </rPh>
    <phoneticPr fontId="2"/>
  </si>
  <si>
    <t>人口
普及率</t>
    <rPh sb="0" eb="2">
      <t>ジンコウ</t>
    </rPh>
    <rPh sb="3" eb="5">
      <t>フキュウ</t>
    </rPh>
    <rPh sb="5" eb="6">
      <t>リツ</t>
    </rPh>
    <phoneticPr fontId="2"/>
  </si>
  <si>
    <t>有収率</t>
    <rPh sb="0" eb="1">
      <t>ユウ</t>
    </rPh>
    <rPh sb="1" eb="2">
      <t>シュウ</t>
    </rPh>
    <rPh sb="2" eb="3">
      <t>リツ</t>
    </rPh>
    <phoneticPr fontId="2"/>
  </si>
  <si>
    <t>（令和元年度）</t>
    <phoneticPr fontId="2"/>
  </si>
  <si>
    <t>１住宅当たり
延床面積</t>
    <rPh sb="1" eb="3">
      <t>ジュウタク</t>
    </rPh>
    <rPh sb="3" eb="4">
      <t>ア</t>
    </rPh>
    <rPh sb="7" eb="8">
      <t>ノ</t>
    </rPh>
    <rPh sb="8" eb="9">
      <t>ユカ</t>
    </rPh>
    <rPh sb="9" eb="11">
      <t>メンセキ</t>
    </rPh>
    <phoneticPr fontId="2"/>
  </si>
  <si>
    <t>市営</t>
    <rPh sb="0" eb="2">
      <t>シエイ</t>
    </rPh>
    <phoneticPr fontId="2"/>
  </si>
  <si>
    <t>市公社</t>
    <rPh sb="0" eb="1">
      <t>シ</t>
    </rPh>
    <rPh sb="1" eb="3">
      <t>コウシャ</t>
    </rPh>
    <phoneticPr fontId="2"/>
  </si>
  <si>
    <t>都道府県営</t>
    <rPh sb="0" eb="1">
      <t>ミヤコ</t>
    </rPh>
    <rPh sb="1" eb="2">
      <t>ミチ</t>
    </rPh>
    <rPh sb="2" eb="3">
      <t>フ</t>
    </rPh>
    <rPh sb="3" eb="4">
      <t>ケン</t>
    </rPh>
    <rPh sb="4" eb="5">
      <t>エイ</t>
    </rPh>
    <phoneticPr fontId="2"/>
  </si>
  <si>
    <t>都道府県
公社</t>
    <rPh sb="0" eb="4">
      <t>トドウフケン</t>
    </rPh>
    <rPh sb="5" eb="7">
      <t>コウシャ</t>
    </rPh>
    <phoneticPr fontId="2"/>
  </si>
  <si>
    <t>都市
再生機構</t>
    <rPh sb="0" eb="2">
      <t>トシ</t>
    </rPh>
    <rPh sb="3" eb="5">
      <t>サイセイ</t>
    </rPh>
    <rPh sb="5" eb="7">
      <t>キコウ</t>
    </rPh>
    <phoneticPr fontId="2"/>
  </si>
  <si>
    <t>雇用・能力
開発機構</t>
    <rPh sb="0" eb="2">
      <t>コヨウ</t>
    </rPh>
    <rPh sb="3" eb="5">
      <t>ノウリョク</t>
    </rPh>
    <rPh sb="6" eb="8">
      <t>カイハツ</t>
    </rPh>
    <rPh sb="8" eb="10">
      <t>キコウ</t>
    </rPh>
    <phoneticPr fontId="2"/>
  </si>
  <si>
    <t xml:space="preserve"> 市名</t>
  </si>
  <si>
    <t>㎞</t>
    <phoneticPr fontId="2"/>
  </si>
  <si>
    <t>㎡</t>
    <phoneticPr fontId="2"/>
  </si>
  <si>
    <t>㎥</t>
    <phoneticPr fontId="2"/>
  </si>
  <si>
    <t>戸</t>
    <rPh sb="0" eb="1">
      <t>コ</t>
    </rPh>
    <phoneticPr fontId="2"/>
  </si>
  <si>
    <t>…</t>
    <phoneticPr fontId="2"/>
  </si>
  <si>
    <t>☐道路は、令和2年4月1日現在を記入</t>
    <rPh sb="1" eb="3">
      <t>ドウロ</t>
    </rPh>
    <rPh sb="5" eb="7">
      <t>レイワ</t>
    </rPh>
    <rPh sb="8" eb="9">
      <t>ネン</t>
    </rPh>
    <rPh sb="10" eb="11">
      <t>ガツ</t>
    </rPh>
    <rPh sb="12" eb="13">
      <t>ニチ</t>
    </rPh>
    <rPh sb="13" eb="15">
      <t>ゲンザイ</t>
    </rPh>
    <rPh sb="16" eb="18">
      <t>キニュウ</t>
    </rPh>
    <phoneticPr fontId="2"/>
  </si>
  <si>
    <t>☐公園は、令和2年4月1日</t>
    <rPh sb="1" eb="3">
      <t>コウエン</t>
    </rPh>
    <rPh sb="5" eb="7">
      <t>レイワ</t>
    </rPh>
    <rPh sb="8" eb="9">
      <t>ネン</t>
    </rPh>
    <rPh sb="10" eb="11">
      <t>ネン</t>
    </rPh>
    <rPh sb="12" eb="13">
      <t>ガツニチ</t>
    </rPh>
    <phoneticPr fontId="2"/>
  </si>
  <si>
    <t xml:space="preserve">☐下水道は、令和元年度実績を
記入
</t>
    <rPh sb="1" eb="4">
      <t>ゲスイドウ</t>
    </rPh>
    <rPh sb="6" eb="11">
      <t>レイワガンネンド</t>
    </rPh>
    <rPh sb="9" eb="11">
      <t>ネンド</t>
    </rPh>
    <rPh sb="11" eb="13">
      <t>ジッセキ</t>
    </rPh>
    <rPh sb="15" eb="17">
      <t>キニュウ</t>
    </rPh>
    <phoneticPr fontId="2"/>
  </si>
  <si>
    <t>☐上水道は、令和元年度実績を記入</t>
    <rPh sb="1" eb="2">
      <t>ウエ</t>
    </rPh>
    <rPh sb="2" eb="4">
      <t>スイドウ</t>
    </rPh>
    <rPh sb="6" eb="11">
      <t>レイワガンネンド</t>
    </rPh>
    <rPh sb="11" eb="13">
      <t>ジッセキ</t>
    </rPh>
    <rPh sb="14" eb="16">
      <t>キニュウ</t>
    </rPh>
    <phoneticPr fontId="2"/>
  </si>
  <si>
    <t>☐住宅は、令和元年度建築動態統計調査より記入</t>
    <rPh sb="1" eb="3">
      <t>ジュウタク</t>
    </rPh>
    <rPh sb="5" eb="7">
      <t>レイワ</t>
    </rPh>
    <rPh sb="7" eb="8">
      <t>ガン</t>
    </rPh>
    <phoneticPr fontId="2"/>
  </si>
  <si>
    <t>☐市道は令和2年4月1日、国道、都道府県道は平成31年4月1日を基本とする</t>
    <rPh sb="1" eb="3">
      <t>シドウ</t>
    </rPh>
    <rPh sb="4" eb="6">
      <t>レイワ</t>
    </rPh>
    <rPh sb="7" eb="8">
      <t>ネン</t>
    </rPh>
    <phoneticPr fontId="2"/>
  </si>
  <si>
    <t>　現在を記入</t>
    <rPh sb="1" eb="3">
      <t>ゲンザイ</t>
    </rPh>
    <rPh sb="4" eb="6">
      <t>キニュウ</t>
    </rPh>
    <phoneticPr fontId="2"/>
  </si>
  <si>
    <t>☐汚水処理人口普及率は、令和元年度汚水処理人口普及状況総括表</t>
    <rPh sb="1" eb="3">
      <t>オスイ</t>
    </rPh>
    <rPh sb="3" eb="5">
      <t>ショリ</t>
    </rPh>
    <rPh sb="5" eb="7">
      <t>ジンコウ</t>
    </rPh>
    <rPh sb="7" eb="9">
      <t>フキュウ</t>
    </rPh>
    <rPh sb="9" eb="10">
      <t>リツ</t>
    </rPh>
    <rPh sb="12" eb="14">
      <t>レイワ</t>
    </rPh>
    <rPh sb="14" eb="15">
      <t>ガン</t>
    </rPh>
    <phoneticPr fontId="2"/>
  </si>
  <si>
    <t>☐人口普及率は、対給水区域内人口普及率を記入</t>
    <phoneticPr fontId="2"/>
  </si>
  <si>
    <t>☐公共賃貸住宅数は、令和元年度末実績を記入</t>
    <rPh sb="10" eb="12">
      <t>レイワ</t>
    </rPh>
    <rPh sb="12" eb="13">
      <t>ガン</t>
    </rPh>
    <phoneticPr fontId="2"/>
  </si>
  <si>
    <t>　より記入</t>
    <phoneticPr fontId="2"/>
  </si>
  <si>
    <t>☐１人当たり年間使用量は、年間有収水量÷給水人口で計算</t>
    <phoneticPr fontId="2"/>
  </si>
  <si>
    <t>☐サービス付き高齢者向け住宅数については、令和2年4月1日現在の登録済みサービス付き高齢者向け住宅の「箇所数」及び「戸数」</t>
    <rPh sb="21" eb="23">
      <t>レイワ</t>
    </rPh>
    <rPh sb="24" eb="25">
      <t>ネン</t>
    </rPh>
    <rPh sb="26" eb="27">
      <t>ガツ</t>
    </rPh>
    <phoneticPr fontId="2"/>
  </si>
  <si>
    <t>☐管路の耐震管率、浄水施設及び配水池の耐震化率は、水道事業ガイドラインに基づく業務指標（ＰＩ）より算出</t>
    <phoneticPr fontId="2"/>
  </si>
  <si>
    <t xml:space="preserve">     ・管路の耐震管率＝(耐震管延長(km)/管路延長(km))×100</t>
    <phoneticPr fontId="2"/>
  </si>
  <si>
    <t xml:space="preserve">     ・浄水施設の耐震化率＝耐震対策の施された浄水施設能力（㎥/日）／全浄水施設能力（㎥/日）×100</t>
    <phoneticPr fontId="2"/>
  </si>
  <si>
    <t xml:space="preserve">     ・配水池の耐震化率＝耐震対策の施された配水池有効容量（㎥）／配水池等有効容量（㎥）×100</t>
    <phoneticPr fontId="2"/>
  </si>
  <si>
    <t>７　施　設</t>
    <rPh sb="2" eb="3">
      <t>シ</t>
    </rPh>
    <rPh sb="4" eb="5">
      <t>セツ</t>
    </rPh>
    <phoneticPr fontId="2"/>
  </si>
  <si>
    <t>《教育施設》</t>
    <rPh sb="1" eb="3">
      <t>キョウイク</t>
    </rPh>
    <rPh sb="3" eb="5">
      <t>シセツ</t>
    </rPh>
    <phoneticPr fontId="2"/>
  </si>
  <si>
    <t>《スポーツ施設》</t>
    <phoneticPr fontId="2"/>
  </si>
  <si>
    <t>《文化施設》</t>
    <rPh sb="1" eb="3">
      <t>ブンカ</t>
    </rPh>
    <phoneticPr fontId="2"/>
  </si>
  <si>
    <t>《放課後児童クラブ》</t>
    <rPh sb="1" eb="4">
      <t>ホウカゴ</t>
    </rPh>
    <rPh sb="4" eb="6">
      <t>ジドウ</t>
    </rPh>
    <phoneticPr fontId="2"/>
  </si>
  <si>
    <t>《消防・防災》</t>
    <rPh sb="1" eb="3">
      <t>ショウボウ</t>
    </rPh>
    <rPh sb="4" eb="6">
      <t>ボウサイ</t>
    </rPh>
    <phoneticPr fontId="2"/>
  </si>
  <si>
    <t>《公共施設等》</t>
    <rPh sb="1" eb="3">
      <t>コウキョウ</t>
    </rPh>
    <rPh sb="3" eb="5">
      <t>シセツ</t>
    </rPh>
    <rPh sb="5" eb="6">
      <t>トウ</t>
    </rPh>
    <phoneticPr fontId="2"/>
  </si>
  <si>
    <t>幼稚園</t>
    <rPh sb="0" eb="3">
      <t>ヨウチエン</t>
    </rPh>
    <phoneticPr fontId="2"/>
  </si>
  <si>
    <t>小学校</t>
    <rPh sb="0" eb="3">
      <t>ショウガッコウ</t>
    </rPh>
    <phoneticPr fontId="2"/>
  </si>
  <si>
    <t>中学校</t>
    <rPh sb="0" eb="3">
      <t>チュウガッコウ</t>
    </rPh>
    <phoneticPr fontId="2"/>
  </si>
  <si>
    <t>義務教育学校</t>
    <rPh sb="0" eb="2">
      <t>ギム</t>
    </rPh>
    <rPh sb="2" eb="4">
      <t>キョウイク</t>
    </rPh>
    <rPh sb="4" eb="6">
      <t>ガッコウ</t>
    </rPh>
    <phoneticPr fontId="2"/>
  </si>
  <si>
    <t>高等学校（全日制）</t>
    <rPh sb="0" eb="2">
      <t>コウトウ</t>
    </rPh>
    <rPh sb="2" eb="4">
      <t>ガッコウ</t>
    </rPh>
    <rPh sb="5" eb="8">
      <t>ゼンニチセイ</t>
    </rPh>
    <phoneticPr fontId="2"/>
  </si>
  <si>
    <t>高等学校（全日制以外）</t>
    <rPh sb="0" eb="2">
      <t>コウトウ</t>
    </rPh>
    <rPh sb="2" eb="4">
      <t>ガッコウ</t>
    </rPh>
    <rPh sb="5" eb="8">
      <t>ゼンニチセイ</t>
    </rPh>
    <rPh sb="8" eb="10">
      <t>イガイ</t>
    </rPh>
    <phoneticPr fontId="2"/>
  </si>
  <si>
    <t>市立大学数</t>
    <rPh sb="0" eb="2">
      <t>シリツ</t>
    </rPh>
    <rPh sb="2" eb="3">
      <t>ダイ</t>
    </rPh>
    <rPh sb="3" eb="4">
      <t>ガク</t>
    </rPh>
    <rPh sb="4" eb="5">
      <t>スウ</t>
    </rPh>
    <phoneticPr fontId="2"/>
  </si>
  <si>
    <t>特別支援学校数</t>
    <rPh sb="0" eb="2">
      <t>トクベツ</t>
    </rPh>
    <rPh sb="2" eb="4">
      <t>シエン</t>
    </rPh>
    <rPh sb="4" eb="6">
      <t>ガッコウ</t>
    </rPh>
    <rPh sb="6" eb="7">
      <t>スウ</t>
    </rPh>
    <phoneticPr fontId="2"/>
  </si>
  <si>
    <t>図書館数</t>
    <rPh sb="0" eb="1">
      <t>ズ</t>
    </rPh>
    <rPh sb="1" eb="2">
      <t>ショ</t>
    </rPh>
    <rPh sb="2" eb="3">
      <t>ヤカタ</t>
    </rPh>
    <rPh sb="3" eb="4">
      <t>スウ</t>
    </rPh>
    <phoneticPr fontId="2"/>
  </si>
  <si>
    <t>博物館等数</t>
    <rPh sb="0" eb="1">
      <t>ヒロシ</t>
    </rPh>
    <rPh sb="1" eb="2">
      <t>ブツ</t>
    </rPh>
    <rPh sb="2" eb="3">
      <t>ヤカタ</t>
    </rPh>
    <rPh sb="3" eb="4">
      <t>トウ</t>
    </rPh>
    <rPh sb="4" eb="5">
      <t>スウ</t>
    </rPh>
    <phoneticPr fontId="2"/>
  </si>
  <si>
    <t>公民館</t>
    <rPh sb="0" eb="3">
      <t>コウミンカン</t>
    </rPh>
    <phoneticPr fontId="2"/>
  </si>
  <si>
    <t>体育館</t>
    <rPh sb="0" eb="1">
      <t>カラダ</t>
    </rPh>
    <rPh sb="1" eb="2">
      <t>イク</t>
    </rPh>
    <rPh sb="2" eb="3">
      <t>ヤカタ</t>
    </rPh>
    <phoneticPr fontId="2"/>
  </si>
  <si>
    <t>陸上競技場</t>
    <rPh sb="0" eb="2">
      <t>リクジョウ</t>
    </rPh>
    <rPh sb="2" eb="4">
      <t>キョウギ</t>
    </rPh>
    <rPh sb="4" eb="5">
      <t>ジョウ</t>
    </rPh>
    <phoneticPr fontId="2"/>
  </si>
  <si>
    <t>野球場</t>
    <rPh sb="0" eb="1">
      <t>ノ</t>
    </rPh>
    <rPh sb="1" eb="2">
      <t>タマ</t>
    </rPh>
    <rPh sb="2" eb="3">
      <t>バ</t>
    </rPh>
    <phoneticPr fontId="2"/>
  </si>
  <si>
    <t>プール</t>
    <phoneticPr fontId="2"/>
  </si>
  <si>
    <t>テニスコート</t>
    <phoneticPr fontId="2"/>
  </si>
  <si>
    <t>公会堂・市民会館</t>
    <rPh sb="0" eb="3">
      <t>コウカイドウ</t>
    </rPh>
    <rPh sb="4" eb="6">
      <t>シミン</t>
    </rPh>
    <rPh sb="6" eb="8">
      <t>カイカン</t>
    </rPh>
    <phoneticPr fontId="2"/>
  </si>
  <si>
    <t>放課後児童クラブ（公設）</t>
    <rPh sb="0" eb="3">
      <t>ホウカゴ</t>
    </rPh>
    <rPh sb="3" eb="5">
      <t>ジドウ</t>
    </rPh>
    <rPh sb="9" eb="11">
      <t>コウセツ</t>
    </rPh>
    <phoneticPr fontId="2"/>
  </si>
  <si>
    <t>放課後児童クラブ（民設）</t>
    <rPh sb="9" eb="10">
      <t>ミン</t>
    </rPh>
    <rPh sb="10" eb="11">
      <t>セツ</t>
    </rPh>
    <phoneticPr fontId="2"/>
  </si>
  <si>
    <t>消防職員数</t>
    <rPh sb="0" eb="1">
      <t>ケ</t>
    </rPh>
    <rPh sb="1" eb="2">
      <t>ボウ</t>
    </rPh>
    <phoneticPr fontId="2"/>
  </si>
  <si>
    <t>消防車両
保有数</t>
    <rPh sb="0" eb="2">
      <t>ショウボウ</t>
    </rPh>
    <rPh sb="2" eb="4">
      <t>シャリョウ</t>
    </rPh>
    <phoneticPr fontId="2"/>
  </si>
  <si>
    <t>救急車保有数</t>
    <rPh sb="0" eb="3">
      <t>キュウキュウシャ</t>
    </rPh>
    <rPh sb="3" eb="5">
      <t>ホユウ</t>
    </rPh>
    <rPh sb="5" eb="6">
      <t>スウ</t>
    </rPh>
    <phoneticPr fontId="2"/>
  </si>
  <si>
    <t>署・出張所数</t>
    <rPh sb="0" eb="1">
      <t>ショ</t>
    </rPh>
    <rPh sb="2" eb="4">
      <t>シュッチョウ</t>
    </rPh>
    <rPh sb="4" eb="5">
      <t>ジョ</t>
    </rPh>
    <rPh sb="5" eb="6">
      <t>スウ</t>
    </rPh>
    <phoneticPr fontId="2"/>
  </si>
  <si>
    <t>火災発生
件数</t>
    <rPh sb="0" eb="2">
      <t>カサイ</t>
    </rPh>
    <rPh sb="2" eb="4">
      <t>ハッセイ</t>
    </rPh>
    <rPh sb="5" eb="7">
      <t>ケンスウ</t>
    </rPh>
    <phoneticPr fontId="2"/>
  </si>
  <si>
    <t>救急出動
件数</t>
    <rPh sb="0" eb="2">
      <t>キュウキュウ</t>
    </rPh>
    <rPh sb="2" eb="4">
      <t>シュツドウ</t>
    </rPh>
    <rPh sb="5" eb="7">
      <t>ケンスウ</t>
    </rPh>
    <phoneticPr fontId="2"/>
  </si>
  <si>
    <t>救助出動
件数</t>
    <rPh sb="0" eb="2">
      <t>キュウジョ</t>
    </rPh>
    <rPh sb="2" eb="4">
      <t>シュツドウ</t>
    </rPh>
    <rPh sb="5" eb="7">
      <t>ケンスウ</t>
    </rPh>
    <phoneticPr fontId="2"/>
  </si>
  <si>
    <t>指定
緊急避難
場所</t>
    <rPh sb="0" eb="2">
      <t>シテイ</t>
    </rPh>
    <rPh sb="3" eb="5">
      <t>キンキュウ</t>
    </rPh>
    <rPh sb="5" eb="7">
      <t>ヒナン</t>
    </rPh>
    <rPh sb="8" eb="10">
      <t>バショ</t>
    </rPh>
    <phoneticPr fontId="2"/>
  </si>
  <si>
    <t>指定
避難所</t>
    <rPh sb="0" eb="2">
      <t>シテイ</t>
    </rPh>
    <rPh sb="3" eb="6">
      <t>ヒナンジョ</t>
    </rPh>
    <phoneticPr fontId="2"/>
  </si>
  <si>
    <t>指定管理者導入施設数</t>
    <rPh sb="0" eb="2">
      <t>シテイ</t>
    </rPh>
    <rPh sb="2" eb="4">
      <t>カンリ</t>
    </rPh>
    <rPh sb="4" eb="5">
      <t>シャ</t>
    </rPh>
    <rPh sb="5" eb="7">
      <t>ドウニュウ</t>
    </rPh>
    <rPh sb="7" eb="10">
      <t>シセツスウ</t>
    </rPh>
    <phoneticPr fontId="2"/>
  </si>
  <si>
    <t>行政財産延べ床面積</t>
    <rPh sb="0" eb="2">
      <t>ギョウセイ</t>
    </rPh>
    <rPh sb="2" eb="4">
      <t>ザイサン</t>
    </rPh>
    <rPh sb="4" eb="5">
      <t>ノ</t>
    </rPh>
    <rPh sb="6" eb="9">
      <t>ユカメンセキ</t>
    </rPh>
    <phoneticPr fontId="2"/>
  </si>
  <si>
    <t>普通財産延べ床面積</t>
    <rPh sb="0" eb="2">
      <t>フツウ</t>
    </rPh>
    <rPh sb="2" eb="4">
      <t>ザイサン</t>
    </rPh>
    <rPh sb="4" eb="5">
      <t>ノ</t>
    </rPh>
    <rPh sb="6" eb="9">
      <t>ユカメンセキ</t>
    </rPh>
    <phoneticPr fontId="2"/>
  </si>
  <si>
    <t>市立</t>
    <rPh sb="0" eb="2">
      <t>シリツ</t>
    </rPh>
    <phoneticPr fontId="2"/>
  </si>
  <si>
    <t>市立以外</t>
    <rPh sb="0" eb="2">
      <t>シリツ</t>
    </rPh>
    <rPh sb="2" eb="4">
      <t>イガイ</t>
    </rPh>
    <phoneticPr fontId="2"/>
  </si>
  <si>
    <t>短期
大学</t>
    <rPh sb="0" eb="2">
      <t>タンキ</t>
    </rPh>
    <rPh sb="3" eb="5">
      <t>ダイガク</t>
    </rPh>
    <phoneticPr fontId="2"/>
  </si>
  <si>
    <t>４年制以上の大学</t>
    <rPh sb="1" eb="3">
      <t>ネンセイ</t>
    </rPh>
    <rPh sb="3" eb="5">
      <t>イジョウ</t>
    </rPh>
    <rPh sb="6" eb="8">
      <t>ダイガク</t>
    </rPh>
    <phoneticPr fontId="2"/>
  </si>
  <si>
    <t>蔵書冊数</t>
    <rPh sb="0" eb="2">
      <t>ゾウショ</t>
    </rPh>
    <rPh sb="2" eb="4">
      <t>サッスウ</t>
    </rPh>
    <phoneticPr fontId="2"/>
  </si>
  <si>
    <t>総貸出</t>
    <rPh sb="0" eb="1">
      <t>ソウ</t>
    </rPh>
    <rPh sb="1" eb="3">
      <t>カシダシ</t>
    </rPh>
    <phoneticPr fontId="2"/>
  </si>
  <si>
    <t>総合</t>
    <rPh sb="0" eb="2">
      <t>ソウゴウ</t>
    </rPh>
    <phoneticPr fontId="2"/>
  </si>
  <si>
    <t>科学</t>
    <rPh sb="0" eb="2">
      <t>カガク</t>
    </rPh>
    <phoneticPr fontId="2"/>
  </si>
  <si>
    <t>歴史</t>
    <rPh sb="0" eb="2">
      <t>レキシ</t>
    </rPh>
    <phoneticPr fontId="2"/>
  </si>
  <si>
    <t>美術</t>
    <rPh sb="0" eb="2">
      <t>ビジュツ</t>
    </rPh>
    <phoneticPr fontId="2"/>
  </si>
  <si>
    <t>野外</t>
    <rPh sb="0" eb="2">
      <t>ヤガイ</t>
    </rPh>
    <phoneticPr fontId="2"/>
  </si>
  <si>
    <t>動物園</t>
    <rPh sb="0" eb="3">
      <t>ドウブツエン</t>
    </rPh>
    <phoneticPr fontId="2"/>
  </si>
  <si>
    <t>植物園</t>
    <rPh sb="0" eb="3">
      <t>ショクブツエン</t>
    </rPh>
    <phoneticPr fontId="2"/>
  </si>
  <si>
    <t>動植物園</t>
    <rPh sb="0" eb="1">
      <t>ドウ</t>
    </rPh>
    <rPh sb="1" eb="4">
      <t>ショクブツエン</t>
    </rPh>
    <phoneticPr fontId="2"/>
  </si>
  <si>
    <t>水族館</t>
    <rPh sb="0" eb="3">
      <t>スイゾクカン</t>
    </rPh>
    <phoneticPr fontId="2"/>
  </si>
  <si>
    <t>施設数</t>
    <rPh sb="0" eb="2">
      <t>シセツ</t>
    </rPh>
    <rPh sb="2" eb="3">
      <t>スウ</t>
    </rPh>
    <phoneticPr fontId="2"/>
  </si>
  <si>
    <t>延床面積</t>
    <rPh sb="0" eb="1">
      <t>エン</t>
    </rPh>
    <rPh sb="1" eb="2">
      <t>ユカ</t>
    </rPh>
    <rPh sb="2" eb="4">
      <t>メンセキ</t>
    </rPh>
    <phoneticPr fontId="2"/>
  </si>
  <si>
    <t>敷地面積</t>
    <rPh sb="0" eb="2">
      <t>シキチ</t>
    </rPh>
    <rPh sb="2" eb="4">
      <t>メンセキ</t>
    </rPh>
    <phoneticPr fontId="2"/>
  </si>
  <si>
    <t>水面面積</t>
    <rPh sb="0" eb="2">
      <t>スイメン</t>
    </rPh>
    <rPh sb="2" eb="4">
      <t>メンセキ</t>
    </rPh>
    <phoneticPr fontId="2"/>
  </si>
  <si>
    <t>大ホール収容定員</t>
    <phoneticPr fontId="2"/>
  </si>
  <si>
    <t>公営</t>
    <rPh sb="0" eb="2">
      <t>コウエイ</t>
    </rPh>
    <phoneticPr fontId="2"/>
  </si>
  <si>
    <t>民営</t>
    <rPh sb="0" eb="2">
      <t>ミンエイ</t>
    </rPh>
    <phoneticPr fontId="2"/>
  </si>
  <si>
    <t>署</t>
    <rPh sb="0" eb="1">
      <t>ショ</t>
    </rPh>
    <phoneticPr fontId="2"/>
  </si>
  <si>
    <t>分署</t>
    <rPh sb="0" eb="2">
      <t>ブンショ</t>
    </rPh>
    <phoneticPr fontId="2"/>
  </si>
  <si>
    <t>出張所</t>
    <rPh sb="0" eb="2">
      <t>シュッチョウ</t>
    </rPh>
    <rPh sb="2" eb="3">
      <t>ジョ</t>
    </rPh>
    <phoneticPr fontId="2"/>
  </si>
  <si>
    <t>レクリエーション・スポーツ施設</t>
    <rPh sb="13" eb="15">
      <t>シセツ</t>
    </rPh>
    <phoneticPr fontId="2"/>
  </si>
  <si>
    <t>産業振興
施設</t>
    <rPh sb="0" eb="2">
      <t>サンギョウ</t>
    </rPh>
    <rPh sb="2" eb="4">
      <t>シンコウ</t>
    </rPh>
    <rPh sb="5" eb="7">
      <t>シセツ</t>
    </rPh>
    <phoneticPr fontId="2"/>
  </si>
  <si>
    <t>基盤施設</t>
    <rPh sb="0" eb="2">
      <t>キバン</t>
    </rPh>
    <rPh sb="2" eb="4">
      <t>シセツ</t>
    </rPh>
    <phoneticPr fontId="2"/>
  </si>
  <si>
    <t>文教施設</t>
    <rPh sb="0" eb="2">
      <t>ブンキョウ</t>
    </rPh>
    <rPh sb="2" eb="4">
      <t>シセツ</t>
    </rPh>
    <phoneticPr fontId="2"/>
  </si>
  <si>
    <t>社会福祉
施設</t>
    <rPh sb="0" eb="2">
      <t>シャカイ</t>
    </rPh>
    <rPh sb="2" eb="4">
      <t>フクシ</t>
    </rPh>
    <rPh sb="5" eb="7">
      <t>シセツ</t>
    </rPh>
    <phoneticPr fontId="2"/>
  </si>
  <si>
    <t>その他の施設</t>
    <rPh sb="0" eb="6">
      <t>チイキコウリュウシセツナド</t>
    </rPh>
    <phoneticPr fontId="2"/>
  </si>
  <si>
    <t>園数</t>
    <rPh sb="0" eb="1">
      <t>エン</t>
    </rPh>
    <rPh sb="1" eb="2">
      <t>スウ</t>
    </rPh>
    <phoneticPr fontId="2"/>
  </si>
  <si>
    <t>在園者数</t>
    <rPh sb="0" eb="1">
      <t>ザイ</t>
    </rPh>
    <rPh sb="1" eb="2">
      <t>エン</t>
    </rPh>
    <rPh sb="2" eb="3">
      <t>シャ</t>
    </rPh>
    <rPh sb="3" eb="4">
      <t>スウ</t>
    </rPh>
    <phoneticPr fontId="2"/>
  </si>
  <si>
    <t>教職員数</t>
    <rPh sb="0" eb="3">
      <t>キョウショクイン</t>
    </rPh>
    <rPh sb="3" eb="4">
      <t>スウ</t>
    </rPh>
    <phoneticPr fontId="2"/>
  </si>
  <si>
    <t>うち確認を受けた園数</t>
    <rPh sb="2" eb="4">
      <t>カクニン</t>
    </rPh>
    <rPh sb="5" eb="6">
      <t>ウ</t>
    </rPh>
    <rPh sb="8" eb="9">
      <t>エン</t>
    </rPh>
    <rPh sb="9" eb="10">
      <t>スウ</t>
    </rPh>
    <phoneticPr fontId="2"/>
  </si>
  <si>
    <t>うち1号認定子どもの数</t>
    <rPh sb="3" eb="4">
      <t>ゴウ</t>
    </rPh>
    <rPh sb="4" eb="6">
      <t>ニンテイ</t>
    </rPh>
    <rPh sb="6" eb="7">
      <t>コ</t>
    </rPh>
    <rPh sb="10" eb="11">
      <t>カズ</t>
    </rPh>
    <phoneticPr fontId="2"/>
  </si>
  <si>
    <t>学校数</t>
    <rPh sb="0" eb="2">
      <t>ガッコウ</t>
    </rPh>
    <rPh sb="2" eb="3">
      <t>スウ</t>
    </rPh>
    <phoneticPr fontId="2"/>
  </si>
  <si>
    <t>児童数</t>
    <rPh sb="0" eb="2">
      <t>ジドウ</t>
    </rPh>
    <rPh sb="2" eb="3">
      <t>スウ</t>
    </rPh>
    <phoneticPr fontId="2"/>
  </si>
  <si>
    <t>生徒数</t>
    <rPh sb="0" eb="2">
      <t>セイト</t>
    </rPh>
    <rPh sb="2" eb="3">
      <t>スウ</t>
    </rPh>
    <phoneticPr fontId="2"/>
  </si>
  <si>
    <t>市民１００人
当たり蔵書冊数</t>
    <rPh sb="0" eb="2">
      <t>シミン</t>
    </rPh>
    <rPh sb="5" eb="6">
      <t>ニン</t>
    </rPh>
    <rPh sb="7" eb="8">
      <t>ア</t>
    </rPh>
    <rPh sb="10" eb="12">
      <t>ゾウショ</t>
    </rPh>
    <rPh sb="12" eb="13">
      <t>サツ</t>
    </rPh>
    <rPh sb="13" eb="14">
      <t>スウ</t>
    </rPh>
    <phoneticPr fontId="2"/>
  </si>
  <si>
    <t>冊数</t>
    <rPh sb="0" eb="2">
      <t>サツスウ</t>
    </rPh>
    <phoneticPr fontId="2"/>
  </si>
  <si>
    <t>登録児童</t>
    <rPh sb="0" eb="2">
      <t>トウロク</t>
    </rPh>
    <rPh sb="2" eb="4">
      <t>ジドウ</t>
    </rPh>
    <phoneticPr fontId="2"/>
  </si>
  <si>
    <t>　うち高規格救急車保有数</t>
    <rPh sb="3" eb="6">
      <t>コウキカク</t>
    </rPh>
    <rPh sb="6" eb="9">
      <t>キュウキュウシャ</t>
    </rPh>
    <rPh sb="9" eb="11">
      <t>ホユウ</t>
    </rPh>
    <rPh sb="11" eb="12">
      <t>スウ</t>
    </rPh>
    <phoneticPr fontId="2"/>
  </si>
  <si>
    <t>市名</t>
    <phoneticPr fontId="2"/>
  </si>
  <si>
    <t>園</t>
    <rPh sb="0" eb="1">
      <t>エン</t>
    </rPh>
    <phoneticPr fontId="2"/>
  </si>
  <si>
    <t>校</t>
    <rPh sb="0" eb="1">
      <t>コウ</t>
    </rPh>
    <phoneticPr fontId="2"/>
  </si>
  <si>
    <t>館</t>
    <rPh sb="0" eb="1">
      <t>カン</t>
    </rPh>
    <phoneticPr fontId="2"/>
  </si>
  <si>
    <t>冊</t>
    <rPh sb="0" eb="1">
      <t>サツ</t>
    </rPh>
    <phoneticPr fontId="2"/>
  </si>
  <si>
    <t>面</t>
    <rPh sb="0" eb="1">
      <t>メン</t>
    </rPh>
    <phoneticPr fontId="2"/>
  </si>
  <si>
    <t>か所</t>
    <phoneticPr fontId="2"/>
  </si>
  <si>
    <t>台</t>
    <rPh sb="0" eb="1">
      <t>ダイ</t>
    </rPh>
    <phoneticPr fontId="2"/>
  </si>
  <si>
    <t>件</t>
    <rPh sb="0" eb="1">
      <t>ケン</t>
    </rPh>
    <phoneticPr fontId="2"/>
  </si>
  <si>
    <t>箇所</t>
    <rPh sb="0" eb="2">
      <t>カショ</t>
    </rPh>
    <phoneticPr fontId="2"/>
  </si>
  <si>
    <t>3</t>
  </si>
  <si>
    <t>27598           27,598</t>
  </si>
  <si>
    <t>…（※）</t>
  </si>
  <si>
    <t>☐令和2年4月1日現在を記入。ただし学校数、在学者数、教職員数は令和2年度学校基本調査により記入</t>
    <rPh sb="1" eb="3">
      <t>レイワ</t>
    </rPh>
    <rPh sb="4" eb="5">
      <t>ネン</t>
    </rPh>
    <rPh sb="32" eb="34">
      <t>レイワ</t>
    </rPh>
    <rPh sb="46" eb="48">
      <t>キニュウ</t>
    </rPh>
    <phoneticPr fontId="2"/>
  </si>
  <si>
    <t>☐大学等は、市立（市が設立母体の</t>
    <rPh sb="1" eb="3">
      <t>ダイガク</t>
    </rPh>
    <rPh sb="3" eb="4">
      <t>トウ</t>
    </rPh>
    <rPh sb="6" eb="8">
      <t>イチリツキニュウ</t>
    </rPh>
    <phoneticPr fontId="2"/>
  </si>
  <si>
    <t>☐総貸出冊数は、令和元年度中の数値</t>
    <rPh sb="1" eb="2">
      <t>ソウ</t>
    </rPh>
    <rPh sb="2" eb="4">
      <t>カシダシ</t>
    </rPh>
    <rPh sb="4" eb="6">
      <t>サッスウ</t>
    </rPh>
    <rPh sb="8" eb="10">
      <t>レイワ</t>
    </rPh>
    <rPh sb="10" eb="11">
      <t>ガン</t>
    </rPh>
    <rPh sb="11" eb="14">
      <t>ネンドチュウ</t>
    </rPh>
    <rPh sb="15" eb="17">
      <t>スウチ</t>
    </rPh>
    <phoneticPr fontId="2"/>
  </si>
  <si>
    <t>☐博物館等は「博物館」（登録博物館）、「博物館相当施設」又は「博物館類似施設」に分類される</t>
    <phoneticPr fontId="2"/>
  </si>
  <si>
    <t>☐令和2年4月1日現在を記入</t>
    <rPh sb="1" eb="3">
      <t>レイワ</t>
    </rPh>
    <rPh sb="4" eb="5">
      <t>ネン</t>
    </rPh>
    <rPh sb="5" eb="6">
      <t>ヘイネン</t>
    </rPh>
    <phoneticPr fontId="2"/>
  </si>
  <si>
    <t>☐文化施設は、</t>
    <rPh sb="1" eb="3">
      <t>ブンカ</t>
    </rPh>
    <rPh sb="3" eb="5">
      <t>シセツ</t>
    </rPh>
    <phoneticPr fontId="2"/>
  </si>
  <si>
    <t>☐放課後児童クラブは、厚生労働省行政総合システム（ＷＩＳＨ）に回答する数値（令和2年7月1日時点）</t>
    <rPh sb="38" eb="40">
      <t>レイワ</t>
    </rPh>
    <rPh sb="41" eb="42">
      <t>ネン</t>
    </rPh>
    <phoneticPr fontId="2"/>
  </si>
  <si>
    <t>☐消防施設数は、令和2年4月1日現在を記入</t>
    <rPh sb="1" eb="3">
      <t>ショウボウ</t>
    </rPh>
    <rPh sb="3" eb="6">
      <t>シセツスウ</t>
    </rPh>
    <rPh sb="8" eb="10">
      <t>レイワ</t>
    </rPh>
    <rPh sb="11" eb="12">
      <t>ネン</t>
    </rPh>
    <rPh sb="12" eb="13">
      <t>ヘイネン</t>
    </rPh>
    <rPh sb="13" eb="14">
      <t>ガツ</t>
    </rPh>
    <rPh sb="15" eb="16">
      <t>ニチ</t>
    </rPh>
    <rPh sb="16" eb="18">
      <t>ゲンザイ</t>
    </rPh>
    <rPh sb="19" eb="21">
      <t>キニュウ</t>
    </rPh>
    <phoneticPr fontId="2"/>
  </si>
  <si>
    <t>☐令和2年4月1日現在を記入</t>
    <rPh sb="1" eb="3">
      <t>レイワ</t>
    </rPh>
    <rPh sb="4" eb="5">
      <t>ネン</t>
    </rPh>
    <rPh sb="6" eb="7">
      <t>ガツ</t>
    </rPh>
    <rPh sb="8" eb="11">
      <t>ニチゲンザイ</t>
    </rPh>
    <rPh sb="12" eb="14">
      <t>キニュウ</t>
    </rPh>
    <phoneticPr fontId="2"/>
  </si>
  <si>
    <t>☐教職員数は、本務者のみ記入　</t>
    <phoneticPr fontId="2"/>
  </si>
  <si>
    <r>
      <t>　</t>
    </r>
    <r>
      <rPr>
        <sz val="6"/>
        <rFont val="ＭＳ Ｐ明朝"/>
        <family val="1"/>
        <charset val="128"/>
      </rPr>
      <t>　</t>
    </r>
    <r>
      <rPr>
        <sz val="9"/>
        <rFont val="ＭＳ Ｐ明朝"/>
        <family val="1"/>
        <charset val="128"/>
      </rPr>
      <t>公立大学法人を含む）のみ記入</t>
    </r>
    <phoneticPr fontId="2"/>
  </si>
  <si>
    <t>　　（雑誌、視聴覚資料を含む）</t>
    <rPh sb="3" eb="5">
      <t>ザッシ</t>
    </rPh>
    <rPh sb="6" eb="9">
      <t>シチョウカク</t>
    </rPh>
    <rPh sb="9" eb="11">
      <t>シリョウ</t>
    </rPh>
    <rPh sb="12" eb="13">
      <t>フク</t>
    </rPh>
    <phoneticPr fontId="2"/>
  </si>
  <si>
    <t>　　全ての施設を計上対象とする。また、市立のものに限定せず、公立・私立施設全てを対象とする。</t>
    <phoneticPr fontId="2"/>
  </si>
  <si>
    <t>☐スポーツ施設は、主体が市のもので、有料施設を記入</t>
    <rPh sb="5" eb="7">
      <t>シセツ</t>
    </rPh>
    <rPh sb="9" eb="11">
      <t>シュタイ</t>
    </rPh>
    <rPh sb="12" eb="13">
      <t>シ</t>
    </rPh>
    <rPh sb="18" eb="20">
      <t>ユウリョウ</t>
    </rPh>
    <rPh sb="20" eb="22">
      <t>シセツ</t>
    </rPh>
    <rPh sb="23" eb="25">
      <t>キニュウ</t>
    </rPh>
    <phoneticPr fontId="2"/>
  </si>
  <si>
    <t>「市町村公共施設状況調査」</t>
    <phoneticPr fontId="2"/>
  </si>
  <si>
    <t>☐消防職員数は再任用職員（フルタイム）を含む。</t>
    <rPh sb="1" eb="3">
      <t>ショウボウ</t>
    </rPh>
    <rPh sb="3" eb="5">
      <t>ショクイン</t>
    </rPh>
    <rPh sb="5" eb="6">
      <t>スウ</t>
    </rPh>
    <rPh sb="7" eb="10">
      <t>サイニンヨウ</t>
    </rPh>
    <rPh sb="10" eb="12">
      <t>ショクイン</t>
    </rPh>
    <rPh sb="20" eb="21">
      <t>フク</t>
    </rPh>
    <phoneticPr fontId="2"/>
  </si>
  <si>
    <t>☐レクリエーション・スポーツ施設：競技場、野球場、体育館、テニスコート、プール等</t>
    <rPh sb="14" eb="16">
      <t>シセツ</t>
    </rPh>
    <rPh sb="17" eb="20">
      <t>キョウギジョウ</t>
    </rPh>
    <rPh sb="21" eb="23">
      <t>ヤキュウ</t>
    </rPh>
    <rPh sb="23" eb="24">
      <t>ジョウ</t>
    </rPh>
    <rPh sb="25" eb="28">
      <t>タイイクカン</t>
    </rPh>
    <rPh sb="39" eb="40">
      <t>トウ</t>
    </rPh>
    <phoneticPr fontId="2"/>
  </si>
  <si>
    <t>☐図書館は、市立のみ記入</t>
    <phoneticPr fontId="2"/>
  </si>
  <si>
    <t>□宇都宮市は、平成３０年度社会教育調査における施設数</t>
    <rPh sb="1" eb="5">
      <t>ウツノミヤシ</t>
    </rPh>
    <phoneticPr fontId="2"/>
  </si>
  <si>
    <t>により、令和2年4月1日現在で記入。</t>
    <rPh sb="4" eb="6">
      <t>レイワ</t>
    </rPh>
    <rPh sb="7" eb="8">
      <t>ネン</t>
    </rPh>
    <phoneticPr fontId="2"/>
  </si>
  <si>
    <t>☐消防車両保有数は緊急車両に限り、非常用車両を含む</t>
    <rPh sb="1" eb="3">
      <t>ショウボウ</t>
    </rPh>
    <rPh sb="3" eb="5">
      <t>シャリョウ</t>
    </rPh>
    <rPh sb="5" eb="7">
      <t>ホユウ</t>
    </rPh>
    <rPh sb="7" eb="8">
      <t>スウ</t>
    </rPh>
    <rPh sb="9" eb="11">
      <t>キンキュウ</t>
    </rPh>
    <rPh sb="11" eb="13">
      <t>シャリョウ</t>
    </rPh>
    <rPh sb="14" eb="15">
      <t>カギ</t>
    </rPh>
    <rPh sb="17" eb="19">
      <t>ヒジョウ</t>
    </rPh>
    <rPh sb="19" eb="20">
      <t>ヨウ</t>
    </rPh>
    <rPh sb="20" eb="22">
      <t>シャリョウ</t>
    </rPh>
    <rPh sb="23" eb="24">
      <t>フク</t>
    </rPh>
    <phoneticPr fontId="2"/>
  </si>
  <si>
    <t>☐産業振興施設：情報提供施設、展示場施設等</t>
    <rPh sb="1" eb="3">
      <t>サンギョウ</t>
    </rPh>
    <rPh sb="3" eb="5">
      <t>シンコウ</t>
    </rPh>
    <rPh sb="5" eb="7">
      <t>シセツ</t>
    </rPh>
    <rPh sb="8" eb="10">
      <t>ジョウホウ</t>
    </rPh>
    <rPh sb="10" eb="12">
      <t>テイキョウ</t>
    </rPh>
    <rPh sb="12" eb="14">
      <t>シセツ</t>
    </rPh>
    <rPh sb="14" eb="15">
      <t>キュウジョウ</t>
    </rPh>
    <rPh sb="15" eb="18">
      <t>テンジジョウ</t>
    </rPh>
    <rPh sb="18" eb="20">
      <t>シセツ</t>
    </rPh>
    <rPh sb="20" eb="21">
      <t>トウ</t>
    </rPh>
    <phoneticPr fontId="2"/>
  </si>
  <si>
    <t>☐「大ホール収容定員」の大ホールは</t>
    <phoneticPr fontId="2"/>
  </si>
  <si>
    <t>☐火災発生件数は、令和元年中の数値</t>
    <rPh sb="1" eb="3">
      <t>カサイ</t>
    </rPh>
    <rPh sb="3" eb="5">
      <t>ハッセイ</t>
    </rPh>
    <rPh sb="5" eb="7">
      <t>ケンスウ</t>
    </rPh>
    <rPh sb="9" eb="11">
      <t>レイワ</t>
    </rPh>
    <rPh sb="11" eb="12">
      <t>ガン</t>
    </rPh>
    <rPh sb="12" eb="13">
      <t>ネン</t>
    </rPh>
    <rPh sb="13" eb="14">
      <t>チュウ</t>
    </rPh>
    <rPh sb="15" eb="17">
      <t>スウチ</t>
    </rPh>
    <phoneticPr fontId="2"/>
  </si>
  <si>
    <t>☐基盤施設：駐車場、公園、水道施設、下水道終末処理場等</t>
    <rPh sb="1" eb="3">
      <t>キバン</t>
    </rPh>
    <rPh sb="3" eb="5">
      <t>シセツ</t>
    </rPh>
    <rPh sb="6" eb="9">
      <t>チュウシャジョウ</t>
    </rPh>
    <rPh sb="10" eb="12">
      <t>コウエン</t>
    </rPh>
    <rPh sb="13" eb="15">
      <t>スイドウ</t>
    </rPh>
    <rPh sb="15" eb="17">
      <t>シセツ</t>
    </rPh>
    <rPh sb="18" eb="21">
      <t>ゲスイドウ</t>
    </rPh>
    <rPh sb="21" eb="23">
      <t>シュウマツ</t>
    </rPh>
    <rPh sb="23" eb="25">
      <t>ショリ</t>
    </rPh>
    <rPh sb="25" eb="26">
      <t>ジョウ</t>
    </rPh>
    <rPh sb="26" eb="27">
      <t>トウ</t>
    </rPh>
    <phoneticPr fontId="2"/>
  </si>
  <si>
    <t>　定員1,000名程度以上を目安とし、</t>
    <phoneticPr fontId="2"/>
  </si>
  <si>
    <t>☐救急出動件数及び救助出動件数は、令和元年中の数値</t>
    <rPh sb="1" eb="3">
      <t>キュウキュウ</t>
    </rPh>
    <rPh sb="3" eb="5">
      <t>シュツドウ</t>
    </rPh>
    <rPh sb="5" eb="7">
      <t>ケンスウ</t>
    </rPh>
    <rPh sb="7" eb="8">
      <t>オヨ</t>
    </rPh>
    <rPh sb="9" eb="11">
      <t>キュウジョ</t>
    </rPh>
    <rPh sb="11" eb="13">
      <t>シュツドウ</t>
    </rPh>
    <rPh sb="13" eb="15">
      <t>ケンスウ</t>
    </rPh>
    <rPh sb="17" eb="19">
      <t>レイワ</t>
    </rPh>
    <rPh sb="19" eb="20">
      <t>ガン</t>
    </rPh>
    <rPh sb="20" eb="21">
      <t>ネン</t>
    </rPh>
    <rPh sb="21" eb="22">
      <t>チュウ</t>
    </rPh>
    <rPh sb="23" eb="25">
      <t>スウチ</t>
    </rPh>
    <phoneticPr fontId="2"/>
  </si>
  <si>
    <t>☐文教施設：市民会館、文化会館、博物館、美術館、自然の家等</t>
    <rPh sb="1" eb="3">
      <t>ブンキョウ</t>
    </rPh>
    <rPh sb="3" eb="5">
      <t>シセツ</t>
    </rPh>
    <rPh sb="6" eb="8">
      <t>シミン</t>
    </rPh>
    <rPh sb="8" eb="10">
      <t>カイカン</t>
    </rPh>
    <rPh sb="11" eb="13">
      <t>ブンカ</t>
    </rPh>
    <rPh sb="13" eb="15">
      <t>カイカン</t>
    </rPh>
    <rPh sb="16" eb="19">
      <t>ハクブツカン</t>
    </rPh>
    <rPh sb="20" eb="23">
      <t>ビジュツカン</t>
    </rPh>
    <rPh sb="24" eb="26">
      <t>シゼン</t>
    </rPh>
    <rPh sb="27" eb="28">
      <t>イエ</t>
    </rPh>
    <rPh sb="28" eb="29">
      <t>トウ</t>
    </rPh>
    <phoneticPr fontId="2"/>
  </si>
  <si>
    <t>　大ホールが２つ以上ある場合は合計数</t>
    <phoneticPr fontId="2"/>
  </si>
  <si>
    <t>☐指定緊急避難場所及び指定避難所は、令和2年4月1日現在を記入</t>
    <rPh sb="1" eb="3">
      <t>シテイ</t>
    </rPh>
    <rPh sb="3" eb="5">
      <t>キンキュウ</t>
    </rPh>
    <rPh sb="5" eb="7">
      <t>ヒナン</t>
    </rPh>
    <rPh sb="7" eb="9">
      <t>バショ</t>
    </rPh>
    <rPh sb="9" eb="10">
      <t>オヨ</t>
    </rPh>
    <rPh sb="11" eb="13">
      <t>シテイ</t>
    </rPh>
    <rPh sb="13" eb="16">
      <t>ヒナンジョ</t>
    </rPh>
    <rPh sb="18" eb="20">
      <t>レイワ</t>
    </rPh>
    <rPh sb="21" eb="22">
      <t>ネン</t>
    </rPh>
    <rPh sb="23" eb="24">
      <t>ガツ</t>
    </rPh>
    <rPh sb="24" eb="26">
      <t>ツイタチ</t>
    </rPh>
    <rPh sb="26" eb="28">
      <t>ゲンザイ</t>
    </rPh>
    <rPh sb="29" eb="31">
      <t>キニュウ</t>
    </rPh>
    <phoneticPr fontId="2"/>
  </si>
  <si>
    <t>☐社会福祉施設：病院、老人福祉センター等</t>
    <rPh sb="1" eb="3">
      <t>シャカイ</t>
    </rPh>
    <rPh sb="3" eb="5">
      <t>フクシ</t>
    </rPh>
    <rPh sb="5" eb="7">
      <t>シセツ</t>
    </rPh>
    <rPh sb="8" eb="10">
      <t>ビョウイン</t>
    </rPh>
    <rPh sb="11" eb="13">
      <t>ロウジン</t>
    </rPh>
    <rPh sb="13" eb="15">
      <t>フクシ</t>
    </rPh>
    <rPh sb="19" eb="20">
      <t>トウ</t>
    </rPh>
    <phoneticPr fontId="2"/>
  </si>
  <si>
    <t>　（上記５つの施設に該当しない場合はその他の施設）</t>
    <rPh sb="2" eb="4">
      <t>ジョウキ</t>
    </rPh>
    <rPh sb="7" eb="9">
      <t>シセツ</t>
    </rPh>
    <rPh sb="10" eb="12">
      <t>ガイトウ</t>
    </rPh>
    <rPh sb="15" eb="17">
      <t>バアイ</t>
    </rPh>
    <rPh sb="20" eb="21">
      <t>タ</t>
    </rPh>
    <rPh sb="22" eb="24">
      <t>シセツ</t>
    </rPh>
    <phoneticPr fontId="2"/>
  </si>
  <si>
    <t>☐行政財産、普通財産の延べ床面積は、地方自治法第233条第1項及び地方自治法施行令第166条第2項</t>
    <rPh sb="1" eb="3">
      <t>ギョウセイ</t>
    </rPh>
    <rPh sb="3" eb="5">
      <t>ザイサン</t>
    </rPh>
    <rPh sb="6" eb="8">
      <t>フツウ</t>
    </rPh>
    <rPh sb="8" eb="10">
      <t>ザイサン</t>
    </rPh>
    <rPh sb="18" eb="20">
      <t>チホウ</t>
    </rPh>
    <rPh sb="20" eb="22">
      <t>ジチ</t>
    </rPh>
    <rPh sb="22" eb="23">
      <t>ホウ</t>
    </rPh>
    <rPh sb="23" eb="24">
      <t>ダイ</t>
    </rPh>
    <rPh sb="27" eb="28">
      <t>ジョウ</t>
    </rPh>
    <rPh sb="28" eb="29">
      <t>ダイ</t>
    </rPh>
    <rPh sb="30" eb="31">
      <t>コウ</t>
    </rPh>
    <rPh sb="31" eb="32">
      <t>オヨ</t>
    </rPh>
    <rPh sb="33" eb="35">
      <t>チホウ</t>
    </rPh>
    <rPh sb="35" eb="37">
      <t>ジチ</t>
    </rPh>
    <rPh sb="37" eb="38">
      <t>ホウ</t>
    </rPh>
    <rPh sb="38" eb="41">
      <t>セコウレイ</t>
    </rPh>
    <rPh sb="41" eb="42">
      <t>ダイ</t>
    </rPh>
    <rPh sb="45" eb="46">
      <t>ジョウ</t>
    </rPh>
    <rPh sb="46" eb="47">
      <t>ダイ</t>
    </rPh>
    <rPh sb="48" eb="49">
      <t>コウ</t>
    </rPh>
    <phoneticPr fontId="2"/>
  </si>
  <si>
    <t>　における財産に関する調書の建物延床面積計（令和2年3月31日現在）</t>
    <rPh sb="14" eb="16">
      <t>タテモノ</t>
    </rPh>
    <rPh sb="16" eb="17">
      <t>ノベ</t>
    </rPh>
    <rPh sb="17" eb="20">
      <t>ユカメンセキ</t>
    </rPh>
    <rPh sb="20" eb="21">
      <t>ケイ</t>
    </rPh>
    <rPh sb="22" eb="24">
      <t>レイワ</t>
    </rPh>
    <rPh sb="25" eb="26">
      <t>ネン</t>
    </rPh>
    <phoneticPr fontId="2"/>
  </si>
  <si>
    <t>ⅰ　歳入・歳出総額等</t>
    <phoneticPr fontId="2"/>
  </si>
  <si>
    <t>（令和元年度）</t>
    <rPh sb="1" eb="3">
      <t>レイワ</t>
    </rPh>
    <rPh sb="3" eb="4">
      <t>ガン</t>
    </rPh>
    <phoneticPr fontId="2"/>
  </si>
  <si>
    <t>歳入総額（Ａ）</t>
  </si>
  <si>
    <t>歳出総額（Ｂ）</t>
  </si>
  <si>
    <t>形式収支（Ｃ）
（A）－（Ｂ）</t>
    <phoneticPr fontId="2"/>
  </si>
  <si>
    <t>翌年度へ繰り越
すべき財源（Ｄ）</t>
    <rPh sb="0" eb="1">
      <t>ヨク</t>
    </rPh>
    <rPh sb="1" eb="3">
      <t>ネンド</t>
    </rPh>
    <rPh sb="4" eb="5">
      <t>ク</t>
    </rPh>
    <rPh sb="6" eb="7">
      <t>コ</t>
    </rPh>
    <phoneticPr fontId="2"/>
  </si>
  <si>
    <t>実質収支（Ｅ）
（Ｃ）－（Ｄ）</t>
    <phoneticPr fontId="2"/>
  </si>
  <si>
    <t>単年度収支（Ｆ）</t>
    <rPh sb="0" eb="3">
      <t>タンネンド</t>
    </rPh>
    <rPh sb="3" eb="5">
      <t>シュウシ</t>
    </rPh>
    <phoneticPr fontId="2"/>
  </si>
  <si>
    <t>積立金（G）</t>
    <rPh sb="0" eb="2">
      <t>ツミタテ</t>
    </rPh>
    <rPh sb="2" eb="3">
      <t>キン</t>
    </rPh>
    <phoneticPr fontId="2"/>
  </si>
  <si>
    <t>繰上償還金（Ｈ）</t>
    <rPh sb="0" eb="2">
      <t>クリア</t>
    </rPh>
    <rPh sb="2" eb="4">
      <t>ショウカン</t>
    </rPh>
    <rPh sb="4" eb="5">
      <t>キン</t>
    </rPh>
    <phoneticPr fontId="2"/>
  </si>
  <si>
    <t>積立金
とりくずし額（Ｉ）</t>
    <rPh sb="0" eb="2">
      <t>ツミタテ</t>
    </rPh>
    <rPh sb="2" eb="3">
      <t>キン</t>
    </rPh>
    <phoneticPr fontId="2"/>
  </si>
  <si>
    <t>実質単年度収支</t>
    <rPh sb="0" eb="2">
      <t>ジッシツ</t>
    </rPh>
    <rPh sb="2" eb="5">
      <t>タンネンド</t>
    </rPh>
    <phoneticPr fontId="2"/>
  </si>
  <si>
    <t>普通交付税</t>
    <rPh sb="0" eb="2">
      <t>フツウ</t>
    </rPh>
    <rPh sb="2" eb="5">
      <t>コウフゼイ</t>
    </rPh>
    <phoneticPr fontId="2"/>
  </si>
  <si>
    <t>基準財政
需要額</t>
    <rPh sb="0" eb="2">
      <t>キジュン</t>
    </rPh>
    <rPh sb="2" eb="4">
      <t>ザイセイ</t>
    </rPh>
    <phoneticPr fontId="2"/>
  </si>
  <si>
    <t>基準財政
収入額</t>
    <rPh sb="0" eb="2">
      <t>キジュン</t>
    </rPh>
    <rPh sb="2" eb="4">
      <t>ザイセイ</t>
    </rPh>
    <phoneticPr fontId="2"/>
  </si>
  <si>
    <t>標準財政規模</t>
    <rPh sb="0" eb="2">
      <t>ヒョウジュン</t>
    </rPh>
    <rPh sb="2" eb="4">
      <t>ザイセイ</t>
    </rPh>
    <rPh sb="4" eb="6">
      <t>キボ</t>
    </rPh>
    <phoneticPr fontId="2"/>
  </si>
  <si>
    <t>財政力
指数</t>
    <rPh sb="0" eb="2">
      <t>ザイセイ</t>
    </rPh>
    <rPh sb="2" eb="3">
      <t>リョク</t>
    </rPh>
    <rPh sb="4" eb="6">
      <t>シスウ</t>
    </rPh>
    <phoneticPr fontId="2"/>
  </si>
  <si>
    <t>経常
収支
比率</t>
    <rPh sb="0" eb="2">
      <t>ケイジョウ</t>
    </rPh>
    <rPh sb="3" eb="5">
      <t>シュウシ</t>
    </rPh>
    <phoneticPr fontId="2"/>
  </si>
  <si>
    <r>
      <t xml:space="preserve">人件費
比率
</t>
    </r>
    <r>
      <rPr>
        <sz val="11"/>
        <rFont val="ＭＳ Ｐ明朝"/>
        <family val="1"/>
        <charset val="128"/>
      </rPr>
      <t>(構成比)</t>
    </r>
    <rPh sb="0" eb="3">
      <t>ジンケンヒ</t>
    </rPh>
    <rPh sb="4" eb="6">
      <t>ヒリツ</t>
    </rPh>
    <rPh sb="8" eb="11">
      <t>コウセイヒ</t>
    </rPh>
    <phoneticPr fontId="2"/>
  </si>
  <si>
    <t>実質
収支
比率</t>
    <rPh sb="0" eb="2">
      <t>ジッシツ</t>
    </rPh>
    <rPh sb="3" eb="5">
      <t>シュウシ</t>
    </rPh>
    <phoneticPr fontId="2"/>
  </si>
  <si>
    <t>実質
公債費
比率</t>
    <phoneticPr fontId="2"/>
  </si>
  <si>
    <t>将来負担比率</t>
    <phoneticPr fontId="2"/>
  </si>
  <si>
    <t>積立金
現在高</t>
    <rPh sb="0" eb="2">
      <t>ツミタテ</t>
    </rPh>
    <rPh sb="2" eb="3">
      <t>キン</t>
    </rPh>
    <phoneticPr fontId="2"/>
  </si>
  <si>
    <t>地方債
現在高</t>
    <rPh sb="0" eb="3">
      <t>チホウサイ</t>
    </rPh>
    <phoneticPr fontId="2"/>
  </si>
  <si>
    <t>収益事業
収入額</t>
    <rPh sb="0" eb="2">
      <t>シュウエキ</t>
    </rPh>
    <rPh sb="2" eb="4">
      <t>ジギョウ</t>
    </rPh>
    <phoneticPr fontId="2"/>
  </si>
  <si>
    <t>債務負担
行為額</t>
    <rPh sb="0" eb="2">
      <t>サイム</t>
    </rPh>
    <rPh sb="2" eb="4">
      <t>フタン</t>
    </rPh>
    <phoneticPr fontId="2"/>
  </si>
  <si>
    <t>財政調整基金残高</t>
    <phoneticPr fontId="2"/>
  </si>
  <si>
    <t>（Ｊ）</t>
  </si>
  <si>
    <t>（交付・不交
付の区分）</t>
    <rPh sb="1" eb="3">
      <t>コウフ</t>
    </rPh>
    <rPh sb="4" eb="5">
      <t>フ</t>
    </rPh>
    <rPh sb="5" eb="6">
      <t>コウ</t>
    </rPh>
    <rPh sb="7" eb="8">
      <t>ヅケ</t>
    </rPh>
    <rPh sb="9" eb="11">
      <t>クブン</t>
    </rPh>
    <phoneticPr fontId="2"/>
  </si>
  <si>
    <t>（Ｆ）+（G）+（Ｈ）-（Ｉ）</t>
  </si>
  <si>
    <t>千円</t>
    <rPh sb="0" eb="2">
      <t>センエン</t>
    </rPh>
    <phoneticPr fontId="2"/>
  </si>
  <si>
    <t>（交付・不交付）</t>
    <rPh sb="1" eb="3">
      <t>コウフ</t>
    </rPh>
    <rPh sb="4" eb="5">
      <t>フ</t>
    </rPh>
    <rPh sb="5" eb="7">
      <t>コウフ</t>
    </rPh>
    <phoneticPr fontId="2"/>
  </si>
  <si>
    <t>交付</t>
  </si>
  <si>
    <t>交付</t>
    <rPh sb="0" eb="2">
      <t>コウフ</t>
    </rPh>
    <phoneticPr fontId="2"/>
  </si>
  <si>
    <t>不交付</t>
  </si>
  <si>
    <t>☐人件費比率は、構成比を記入</t>
    <rPh sb="1" eb="4">
      <t>ジンケンヒ</t>
    </rPh>
    <rPh sb="4" eb="6">
      <t>ヒリツ</t>
    </rPh>
    <rPh sb="8" eb="11">
      <t>コウセイヒ</t>
    </rPh>
    <rPh sb="12" eb="14">
      <t>キニュウ</t>
    </rPh>
    <phoneticPr fontId="2"/>
  </si>
  <si>
    <t>☐令和元年度地方財政状況調査より記入</t>
    <rPh sb="1" eb="6">
      <t>レイワガンネンド</t>
    </rPh>
    <rPh sb="6" eb="8">
      <t>チホウ</t>
    </rPh>
    <rPh sb="8" eb="10">
      <t>ザイセイ</t>
    </rPh>
    <rPh sb="10" eb="11">
      <t>ド</t>
    </rPh>
    <rPh sb="11" eb="13">
      <t>チホウ</t>
    </rPh>
    <rPh sb="13" eb="15">
      <t>ザイセイ</t>
    </rPh>
    <rPh sb="15" eb="17">
      <t>ジョウキョウチョウサキニュウ</t>
    </rPh>
    <phoneticPr fontId="2"/>
  </si>
  <si>
    <t>ⅱ　歳入内訳（款別）</t>
    <rPh sb="2" eb="4">
      <t>サイニュウ</t>
    </rPh>
    <rPh sb="4" eb="6">
      <t>ウチワケ</t>
    </rPh>
    <rPh sb="7" eb="8">
      <t>カン</t>
    </rPh>
    <rPh sb="8" eb="9">
      <t>ベツ</t>
    </rPh>
    <phoneticPr fontId="2"/>
  </si>
  <si>
    <t>（令和元年度）</t>
    <rPh sb="1" eb="6">
      <t>レイワガンネンド</t>
    </rPh>
    <rPh sb="4" eb="6">
      <t>ネンド</t>
    </rPh>
    <phoneticPr fontId="2"/>
  </si>
  <si>
    <t>市税</t>
    <rPh sb="0" eb="1">
      <t>シ</t>
    </rPh>
    <rPh sb="1" eb="2">
      <t>ゼイ</t>
    </rPh>
    <phoneticPr fontId="2"/>
  </si>
  <si>
    <t>地方譲与税</t>
    <rPh sb="0" eb="2">
      <t>チホウ</t>
    </rPh>
    <rPh sb="2" eb="4">
      <t>ジョウヨ</t>
    </rPh>
    <rPh sb="4" eb="5">
      <t>ゼイ</t>
    </rPh>
    <phoneticPr fontId="2"/>
  </si>
  <si>
    <t>利子割交付金</t>
    <rPh sb="0" eb="2">
      <t>リシ</t>
    </rPh>
    <rPh sb="2" eb="3">
      <t>ワリ</t>
    </rPh>
    <rPh sb="3" eb="6">
      <t>コウフキン</t>
    </rPh>
    <phoneticPr fontId="2"/>
  </si>
  <si>
    <t>配当割交付金</t>
    <rPh sb="0" eb="2">
      <t>ハイトウ</t>
    </rPh>
    <rPh sb="2" eb="3">
      <t>ワリ</t>
    </rPh>
    <rPh sb="3" eb="6">
      <t>コウフキン</t>
    </rPh>
    <phoneticPr fontId="2"/>
  </si>
  <si>
    <t>株式等譲渡
所得割交付金</t>
    <rPh sb="0" eb="3">
      <t>カブシキナド</t>
    </rPh>
    <rPh sb="3" eb="5">
      <t>ジョウト</t>
    </rPh>
    <rPh sb="6" eb="8">
      <t>ショトク</t>
    </rPh>
    <rPh sb="8" eb="9">
      <t>ワリ</t>
    </rPh>
    <rPh sb="9" eb="12">
      <t>コウフキン</t>
    </rPh>
    <phoneticPr fontId="2"/>
  </si>
  <si>
    <t>地方消費税交付金</t>
    <rPh sb="0" eb="2">
      <t>チホウ</t>
    </rPh>
    <rPh sb="2" eb="5">
      <t>ショウヒゼイ</t>
    </rPh>
    <rPh sb="5" eb="7">
      <t>コウフ</t>
    </rPh>
    <rPh sb="7" eb="8">
      <t>キン</t>
    </rPh>
    <phoneticPr fontId="2"/>
  </si>
  <si>
    <t>ゴルフ場
利用税交付金</t>
    <rPh sb="3" eb="4">
      <t>ジョウ</t>
    </rPh>
    <rPh sb="5" eb="7">
      <t>リヨウ</t>
    </rPh>
    <rPh sb="7" eb="8">
      <t>ゼイ</t>
    </rPh>
    <rPh sb="8" eb="11">
      <t>コウフキン</t>
    </rPh>
    <phoneticPr fontId="2"/>
  </si>
  <si>
    <t>特別地方消費税</t>
    <rPh sb="0" eb="2">
      <t>トクベツ</t>
    </rPh>
    <rPh sb="2" eb="4">
      <t>チホウ</t>
    </rPh>
    <rPh sb="4" eb="7">
      <t>ショウヒゼイ</t>
    </rPh>
    <phoneticPr fontId="2"/>
  </si>
  <si>
    <t>自動車取得税交付金</t>
    <rPh sb="0" eb="3">
      <t>ジドウシャ</t>
    </rPh>
    <rPh sb="3" eb="5">
      <t>シュトク</t>
    </rPh>
    <rPh sb="5" eb="6">
      <t>ゼイ</t>
    </rPh>
    <rPh sb="6" eb="9">
      <t>コウフキン</t>
    </rPh>
    <phoneticPr fontId="2"/>
  </si>
  <si>
    <t>自動車税
環境性能割交付金</t>
    <phoneticPr fontId="2"/>
  </si>
  <si>
    <t>地方特例交付金</t>
    <rPh sb="0" eb="2">
      <t>チホウ</t>
    </rPh>
    <rPh sb="2" eb="4">
      <t>トクレイ</t>
    </rPh>
    <rPh sb="4" eb="7">
      <t>コウフキン</t>
    </rPh>
    <phoneticPr fontId="2"/>
  </si>
  <si>
    <t>地方交付税</t>
    <rPh sb="0" eb="2">
      <t>チホウ</t>
    </rPh>
    <rPh sb="2" eb="5">
      <t>コウフゼイ</t>
    </rPh>
    <phoneticPr fontId="2"/>
  </si>
  <si>
    <t>地方交付税内訳</t>
    <rPh sb="0" eb="2">
      <t>チホウ</t>
    </rPh>
    <rPh sb="2" eb="5">
      <t>コウフゼイ</t>
    </rPh>
    <rPh sb="5" eb="7">
      <t>ウチワケ</t>
    </rPh>
    <phoneticPr fontId="2"/>
  </si>
  <si>
    <t>交通安全対策交付金</t>
    <rPh sb="0" eb="2">
      <t>コウツウ</t>
    </rPh>
    <rPh sb="2" eb="4">
      <t>アンゼン</t>
    </rPh>
    <rPh sb="4" eb="6">
      <t>タイサク</t>
    </rPh>
    <rPh sb="6" eb="9">
      <t>コウフキン</t>
    </rPh>
    <phoneticPr fontId="2"/>
  </si>
  <si>
    <t>分担金・負担金</t>
    <rPh sb="0" eb="3">
      <t>ブンタンキン</t>
    </rPh>
    <rPh sb="4" eb="7">
      <t>フタンキン</t>
    </rPh>
    <phoneticPr fontId="2"/>
  </si>
  <si>
    <t>使用料</t>
    <rPh sb="0" eb="3">
      <t>シヨウリョウ</t>
    </rPh>
    <phoneticPr fontId="2"/>
  </si>
  <si>
    <t>手数料</t>
    <rPh sb="0" eb="3">
      <t>テスウリョウ</t>
    </rPh>
    <phoneticPr fontId="2"/>
  </si>
  <si>
    <t>国庫支出金</t>
    <rPh sb="0" eb="2">
      <t>コッコ</t>
    </rPh>
    <rPh sb="2" eb="5">
      <t>シシュツキン</t>
    </rPh>
    <phoneticPr fontId="2"/>
  </si>
  <si>
    <t>国有提供施設等所在</t>
    <rPh sb="0" eb="2">
      <t>コクユウ</t>
    </rPh>
    <rPh sb="2" eb="4">
      <t>テイキョウ</t>
    </rPh>
    <rPh sb="4" eb="6">
      <t>シセツ</t>
    </rPh>
    <rPh sb="6" eb="7">
      <t>トウ</t>
    </rPh>
    <rPh sb="7" eb="9">
      <t>ショザイ</t>
    </rPh>
    <phoneticPr fontId="2"/>
  </si>
  <si>
    <t>都道府県支出金</t>
    <rPh sb="0" eb="4">
      <t>トドウフケン</t>
    </rPh>
    <rPh sb="4" eb="7">
      <t>シシュツキン</t>
    </rPh>
    <phoneticPr fontId="2"/>
  </si>
  <si>
    <t>財産収入</t>
    <rPh sb="0" eb="2">
      <t>ザイサン</t>
    </rPh>
    <rPh sb="2" eb="4">
      <t>シュウニュウ</t>
    </rPh>
    <phoneticPr fontId="2"/>
  </si>
  <si>
    <t>寄附金</t>
    <rPh sb="0" eb="3">
      <t>キフキン</t>
    </rPh>
    <phoneticPr fontId="2"/>
  </si>
  <si>
    <t>繰入金</t>
    <rPh sb="0" eb="2">
      <t>クリイレ</t>
    </rPh>
    <rPh sb="2" eb="3">
      <t>キン</t>
    </rPh>
    <phoneticPr fontId="2"/>
  </si>
  <si>
    <t>繰越金</t>
    <rPh sb="0" eb="2">
      <t>クリコシ</t>
    </rPh>
    <rPh sb="2" eb="3">
      <t>キン</t>
    </rPh>
    <phoneticPr fontId="2"/>
  </si>
  <si>
    <t>諸収入</t>
    <rPh sb="0" eb="1">
      <t>ショ</t>
    </rPh>
    <rPh sb="1" eb="3">
      <t>シュウニュウ</t>
    </rPh>
    <phoneticPr fontId="2"/>
  </si>
  <si>
    <t>地方債</t>
    <rPh sb="0" eb="3">
      <t>チホウサイ</t>
    </rPh>
    <phoneticPr fontId="2"/>
  </si>
  <si>
    <t>歳入合計</t>
    <rPh sb="0" eb="2">
      <t>サイニュウ</t>
    </rPh>
    <rPh sb="2" eb="4">
      <t>ゴウケイ</t>
    </rPh>
    <phoneticPr fontId="2"/>
  </si>
  <si>
    <t>交付金</t>
    <rPh sb="0" eb="3">
      <t>コウフキン</t>
    </rPh>
    <phoneticPr fontId="2"/>
  </si>
  <si>
    <t>市町村助成交付金</t>
    <rPh sb="0" eb="3">
      <t>シチョウソン</t>
    </rPh>
    <rPh sb="3" eb="5">
      <t>ジョセイ</t>
    </rPh>
    <rPh sb="5" eb="8">
      <t>コウフキン</t>
    </rPh>
    <phoneticPr fontId="2"/>
  </si>
  <si>
    <t>構成比</t>
    <rPh sb="0" eb="2">
      <t>コウセイ</t>
    </rPh>
    <rPh sb="2" eb="3">
      <t>ヒ</t>
    </rPh>
    <phoneticPr fontId="2"/>
  </si>
  <si>
    <t>特別交付税</t>
    <rPh sb="0" eb="2">
      <t>トクベツ</t>
    </rPh>
    <rPh sb="2" eb="5">
      <t>コウフゼイ</t>
    </rPh>
    <phoneticPr fontId="2"/>
  </si>
  <si>
    <t>震災復興特別交付税</t>
    <rPh sb="0" eb="2">
      <t>シンサイ</t>
    </rPh>
    <rPh sb="2" eb="4">
      <t>フッコウ</t>
    </rPh>
    <rPh sb="4" eb="6">
      <t>トクベツ</t>
    </rPh>
    <rPh sb="6" eb="9">
      <t>コウフゼイ</t>
    </rPh>
    <phoneticPr fontId="2"/>
  </si>
  <si>
    <t>ⅲ　目的別歳出内訳</t>
    <rPh sb="2" eb="4">
      <t>モクテキ</t>
    </rPh>
    <rPh sb="4" eb="5">
      <t>ベツ</t>
    </rPh>
    <rPh sb="5" eb="7">
      <t>サイシュツ</t>
    </rPh>
    <rPh sb="7" eb="9">
      <t>ウチワケ</t>
    </rPh>
    <phoneticPr fontId="2"/>
  </si>
  <si>
    <t>（令和元年度）</t>
    <rPh sb="1" eb="6">
      <t>レイワガンネンドヘイネンド</t>
    </rPh>
    <phoneticPr fontId="2"/>
  </si>
  <si>
    <t>議会費</t>
    <rPh sb="0" eb="2">
      <t>ギカイ</t>
    </rPh>
    <rPh sb="2" eb="3">
      <t>ヒ</t>
    </rPh>
    <phoneticPr fontId="2"/>
  </si>
  <si>
    <t>総務費</t>
    <rPh sb="0" eb="3">
      <t>ソウムヒ</t>
    </rPh>
    <phoneticPr fontId="2"/>
  </si>
  <si>
    <t>民生費</t>
    <rPh sb="0" eb="2">
      <t>ミンセイ</t>
    </rPh>
    <rPh sb="2" eb="3">
      <t>ヒ</t>
    </rPh>
    <phoneticPr fontId="2"/>
  </si>
  <si>
    <t>衛生費</t>
    <rPh sb="0" eb="3">
      <t>エイセイヒ</t>
    </rPh>
    <phoneticPr fontId="2"/>
  </si>
  <si>
    <t>労働費</t>
    <rPh sb="0" eb="3">
      <t>ロウドウヒ</t>
    </rPh>
    <phoneticPr fontId="2"/>
  </si>
  <si>
    <t>農林水産業費</t>
    <rPh sb="0" eb="2">
      <t>ノウリン</t>
    </rPh>
    <rPh sb="2" eb="4">
      <t>スイサン</t>
    </rPh>
    <rPh sb="4" eb="5">
      <t>ギョウ</t>
    </rPh>
    <rPh sb="5" eb="6">
      <t>ヒ</t>
    </rPh>
    <phoneticPr fontId="2"/>
  </si>
  <si>
    <t>商工費</t>
    <rPh sb="0" eb="2">
      <t>ショウコウ</t>
    </rPh>
    <rPh sb="2" eb="3">
      <t>ヒ</t>
    </rPh>
    <phoneticPr fontId="2"/>
  </si>
  <si>
    <t>土木費</t>
    <rPh sb="0" eb="2">
      <t>ドボク</t>
    </rPh>
    <rPh sb="2" eb="3">
      <t>ヒ</t>
    </rPh>
    <phoneticPr fontId="2"/>
  </si>
  <si>
    <t>消防費</t>
    <rPh sb="0" eb="2">
      <t>ショウボウ</t>
    </rPh>
    <rPh sb="2" eb="3">
      <t>ヒ</t>
    </rPh>
    <phoneticPr fontId="2"/>
  </si>
  <si>
    <t>教育費</t>
    <rPh sb="0" eb="3">
      <t>キョウイクヒ</t>
    </rPh>
    <phoneticPr fontId="2"/>
  </si>
  <si>
    <t>災害復旧費</t>
    <rPh sb="0" eb="2">
      <t>サイガイ</t>
    </rPh>
    <rPh sb="2" eb="4">
      <t>フッキュウ</t>
    </rPh>
    <rPh sb="4" eb="5">
      <t>ヒ</t>
    </rPh>
    <phoneticPr fontId="2"/>
  </si>
  <si>
    <t>公債費</t>
    <rPh sb="0" eb="3">
      <t>コウサイヒ</t>
    </rPh>
    <phoneticPr fontId="2"/>
  </si>
  <si>
    <t>諸支出金</t>
    <rPh sb="0" eb="1">
      <t>ショ</t>
    </rPh>
    <rPh sb="1" eb="4">
      <t>シシュツキン</t>
    </rPh>
    <phoneticPr fontId="2"/>
  </si>
  <si>
    <t>前年度繰上充用金</t>
    <rPh sb="0" eb="3">
      <t>ゼンネンド</t>
    </rPh>
    <rPh sb="3" eb="5">
      <t>クリア</t>
    </rPh>
    <rPh sb="5" eb="7">
      <t>ジュウヨウ</t>
    </rPh>
    <rPh sb="7" eb="8">
      <t>キン</t>
    </rPh>
    <phoneticPr fontId="2"/>
  </si>
  <si>
    <t>歳出合計</t>
    <rPh sb="0" eb="2">
      <t>サイシュツ</t>
    </rPh>
    <rPh sb="2" eb="4">
      <t>ゴウケイ</t>
    </rPh>
    <phoneticPr fontId="2"/>
  </si>
  <si>
    <t>ⅳ　市税内訳</t>
    <rPh sb="2" eb="4">
      <t>シゼイ</t>
    </rPh>
    <rPh sb="4" eb="6">
      <t>ウチワケ</t>
    </rPh>
    <phoneticPr fontId="2"/>
  </si>
  <si>
    <t>市民税</t>
    <rPh sb="0" eb="1">
      <t>シ</t>
    </rPh>
    <rPh sb="1" eb="2">
      <t>ミン</t>
    </rPh>
    <rPh sb="2" eb="3">
      <t>ゼイ</t>
    </rPh>
    <phoneticPr fontId="2"/>
  </si>
  <si>
    <t>固定資産税</t>
    <rPh sb="0" eb="2">
      <t>コテイ</t>
    </rPh>
    <rPh sb="2" eb="5">
      <t>シサンゼイ</t>
    </rPh>
    <phoneticPr fontId="2"/>
  </si>
  <si>
    <t>軽自動車税</t>
    <rPh sb="0" eb="4">
      <t>ケイジドウシャ</t>
    </rPh>
    <rPh sb="4" eb="5">
      <t>ゼイ</t>
    </rPh>
    <phoneticPr fontId="2"/>
  </si>
  <si>
    <t>市たばこ税</t>
    <rPh sb="0" eb="1">
      <t>シ</t>
    </rPh>
    <rPh sb="4" eb="5">
      <t>ゼイ</t>
    </rPh>
    <phoneticPr fontId="2"/>
  </si>
  <si>
    <t>法定外普通税</t>
    <rPh sb="0" eb="2">
      <t>ホウテイ</t>
    </rPh>
    <rPh sb="2" eb="3">
      <t>ガイ</t>
    </rPh>
    <rPh sb="3" eb="5">
      <t>フツウ</t>
    </rPh>
    <rPh sb="5" eb="6">
      <t>ゼイ</t>
    </rPh>
    <phoneticPr fontId="2"/>
  </si>
  <si>
    <t>特別土地保有税</t>
    <rPh sb="0" eb="2">
      <t>トクベツ</t>
    </rPh>
    <rPh sb="2" eb="4">
      <t>トチ</t>
    </rPh>
    <rPh sb="4" eb="7">
      <t>ホユウゼイ</t>
    </rPh>
    <phoneticPr fontId="2"/>
  </si>
  <si>
    <t>旧法による税</t>
    <rPh sb="0" eb="2">
      <t>キュウホウ</t>
    </rPh>
    <rPh sb="5" eb="6">
      <t>ゼイ</t>
    </rPh>
    <phoneticPr fontId="2"/>
  </si>
  <si>
    <t>鉱産税</t>
    <rPh sb="0" eb="1">
      <t>コウ</t>
    </rPh>
    <rPh sb="1" eb="2">
      <t>サン</t>
    </rPh>
    <rPh sb="2" eb="3">
      <t>ゼイ</t>
    </rPh>
    <phoneticPr fontId="2"/>
  </si>
  <si>
    <t>目的税</t>
    <rPh sb="0" eb="1">
      <t>メ</t>
    </rPh>
    <rPh sb="1" eb="2">
      <t>マト</t>
    </rPh>
    <rPh sb="2" eb="3">
      <t>ゼイ</t>
    </rPh>
    <phoneticPr fontId="2"/>
  </si>
  <si>
    <t>市税合計</t>
    <rPh sb="0" eb="1">
      <t>シ</t>
    </rPh>
    <rPh sb="1" eb="2">
      <t>ゼイ</t>
    </rPh>
    <rPh sb="2" eb="3">
      <t>ゴウ</t>
    </rPh>
    <rPh sb="3" eb="4">
      <t>ケイ</t>
    </rPh>
    <phoneticPr fontId="2"/>
  </si>
  <si>
    <t>個人分</t>
    <rPh sb="0" eb="1">
      <t>コ</t>
    </rPh>
    <rPh sb="1" eb="2">
      <t>ジン</t>
    </rPh>
    <rPh sb="2" eb="3">
      <t>ブン</t>
    </rPh>
    <phoneticPr fontId="2"/>
  </si>
  <si>
    <t>法人分</t>
    <rPh sb="0" eb="1">
      <t>ホウ</t>
    </rPh>
    <rPh sb="1" eb="2">
      <t>ジン</t>
    </rPh>
    <rPh sb="2" eb="3">
      <t>ブン</t>
    </rPh>
    <phoneticPr fontId="2"/>
  </si>
  <si>
    <t>種別割</t>
    <phoneticPr fontId="2"/>
  </si>
  <si>
    <t>環境性能割</t>
    <rPh sb="4" eb="5">
      <t>ワリ</t>
    </rPh>
    <phoneticPr fontId="2"/>
  </si>
  <si>
    <t>うち、都市計画税</t>
    <rPh sb="3" eb="5">
      <t>トシ</t>
    </rPh>
    <rPh sb="5" eb="7">
      <t>ケイカク</t>
    </rPh>
    <rPh sb="7" eb="8">
      <t>ゼイ</t>
    </rPh>
    <phoneticPr fontId="2"/>
  </si>
  <si>
    <t>うち、事業所税</t>
    <rPh sb="3" eb="6">
      <t>ジギョウショ</t>
    </rPh>
    <rPh sb="6" eb="7">
      <t>ゼイ</t>
    </rPh>
    <phoneticPr fontId="2"/>
  </si>
  <si>
    <t>ⅴ　市税徴収率</t>
    <rPh sb="2" eb="4">
      <t>シゼイ</t>
    </rPh>
    <rPh sb="4" eb="6">
      <t>チョウシュウ</t>
    </rPh>
    <rPh sb="6" eb="7">
      <t>リツ</t>
    </rPh>
    <phoneticPr fontId="2"/>
  </si>
  <si>
    <t>市税合計</t>
    <rPh sb="0" eb="2">
      <t>シゼイ</t>
    </rPh>
    <rPh sb="2" eb="4">
      <t>ゴウケイ</t>
    </rPh>
    <phoneticPr fontId="2"/>
  </si>
  <si>
    <t>現年
課税分</t>
    <rPh sb="0" eb="1">
      <t>ゲン</t>
    </rPh>
    <rPh sb="1" eb="2">
      <t>ネン</t>
    </rPh>
    <phoneticPr fontId="2"/>
  </si>
  <si>
    <t>滞納
繰越分</t>
    <rPh sb="0" eb="2">
      <t>タイノウ</t>
    </rPh>
    <phoneticPr fontId="2"/>
  </si>
  <si>
    <t>合計</t>
    <phoneticPr fontId="2"/>
  </si>
  <si>
    <t>合計</t>
  </si>
  <si>
    <t>　１．中核市における市町村合併の変遷</t>
    <rPh sb="3" eb="6">
      <t>チュウカクシ</t>
    </rPh>
    <rPh sb="10" eb="13">
      <t>シチョウソン</t>
    </rPh>
    <rPh sb="13" eb="15">
      <t>ガッペイ</t>
    </rPh>
    <rPh sb="16" eb="18">
      <t>ヘンセン</t>
    </rPh>
    <phoneticPr fontId="2"/>
  </si>
  <si>
    <t>施行年月日</t>
  </si>
  <si>
    <t>市　　名</t>
  </si>
  <si>
    <t>合併構成団体名</t>
    <rPh sb="2" eb="4">
      <t>コウセイ</t>
    </rPh>
    <rPh sb="4" eb="6">
      <t>ダンタイ</t>
    </rPh>
    <phoneticPr fontId="2"/>
  </si>
  <si>
    <t>形態</t>
  </si>
  <si>
    <t>福山市、内海町、新市町</t>
  </si>
  <si>
    <t>編入</t>
  </si>
  <si>
    <t>呉市、下蒲刈町</t>
    <rPh sb="0" eb="2">
      <t>クレシ</t>
    </rPh>
    <rPh sb="3" eb="7">
      <t>シモカマガリチョウ</t>
    </rPh>
    <phoneticPr fontId="2"/>
  </si>
  <si>
    <t>編入</t>
    <phoneticPr fontId="2"/>
  </si>
  <si>
    <t>呉市、川尻町</t>
    <rPh sb="0" eb="2">
      <t>クレシ</t>
    </rPh>
    <rPh sb="3" eb="5">
      <t>カワジリ</t>
    </rPh>
    <rPh sb="5" eb="6">
      <t>マチ</t>
    </rPh>
    <phoneticPr fontId="2"/>
  </si>
  <si>
    <t>鳥取市</t>
    <rPh sb="0" eb="2">
      <t>トットリ</t>
    </rPh>
    <phoneticPr fontId="2"/>
  </si>
  <si>
    <t>鳥取市、国府町、福部村、河原町、用瀬町、佐治村、気高町、鹿野町、青谷町</t>
    <rPh sb="0" eb="3">
      <t>トットリシ</t>
    </rPh>
    <phoneticPr fontId="2"/>
  </si>
  <si>
    <t>鹿児島市、吉田町、桜島町、喜入町、松元町、郡山町</t>
  </si>
  <si>
    <t>函館市、戸井町、恵山町、椴法華村、南茅部町</t>
  </si>
  <si>
    <t>前橋市</t>
    <rPh sb="0" eb="3">
      <t>マエバシシ</t>
    </rPh>
    <phoneticPr fontId="2"/>
  </si>
  <si>
    <t>前橋市、大胡町、宮城村、粕川村</t>
    <rPh sb="0" eb="3">
      <t>マエバシシ</t>
    </rPh>
    <rPh sb="4" eb="5">
      <t>オオ</t>
    </rPh>
    <rPh sb="5" eb="7">
      <t>エビスマチ</t>
    </rPh>
    <rPh sb="8" eb="11">
      <t>ミヤギムラ</t>
    </rPh>
    <rPh sb="12" eb="14">
      <t>カスカワ</t>
    </rPh>
    <rPh sb="14" eb="15">
      <t>ムラ</t>
    </rPh>
    <phoneticPr fontId="2"/>
  </si>
  <si>
    <t>長野市、豊野町、戸隠村、鬼無里村、大岡村</t>
    <rPh sb="17" eb="20">
      <t>オオオカムラ</t>
    </rPh>
    <phoneticPr fontId="2"/>
  </si>
  <si>
    <t>松山市、北条市、中島町</t>
  </si>
  <si>
    <t>高知市、鏡村、土佐山村</t>
  </si>
  <si>
    <t>大分市、野津原町、佐賀関町</t>
  </si>
  <si>
    <t>長崎市、香焼町、伊王島町、高島町、野母崎町、三和町、外海町</t>
  </si>
  <si>
    <t>秋田市、河辺町、雄和町</t>
  </si>
  <si>
    <t>水戸市</t>
    <rPh sb="0" eb="3">
      <t>ミトシ</t>
    </rPh>
    <phoneticPr fontId="2"/>
  </si>
  <si>
    <t>水戸市、内原町</t>
    <rPh sb="0" eb="3">
      <t>ミトシ</t>
    </rPh>
    <phoneticPr fontId="2"/>
  </si>
  <si>
    <t>福山市、沼隈町</t>
  </si>
  <si>
    <t>久留米市、田主丸町、北野町、城島町、三潴町</t>
  </si>
  <si>
    <t>下関市、菊川町、豊田町、豊浦町、豊北町</t>
  </si>
  <si>
    <t>新設</t>
  </si>
  <si>
    <t>呉市、音戸町、倉橋町、蒲刈町、安浦町、豊浜町、豊町</t>
    <phoneticPr fontId="2"/>
  </si>
  <si>
    <t>柏市、沼南町</t>
  </si>
  <si>
    <t>八戸市</t>
    <rPh sb="0" eb="3">
      <t>ハチノヘシ</t>
    </rPh>
    <phoneticPr fontId="2"/>
  </si>
  <si>
    <t>八戸市、南郷村</t>
    <rPh sb="0" eb="3">
      <t>ハチノヘシ</t>
    </rPh>
    <rPh sb="4" eb="6">
      <t>ナンゴウ</t>
    </rPh>
    <rPh sb="6" eb="7">
      <t>ムラ</t>
    </rPh>
    <phoneticPr fontId="2"/>
  </si>
  <si>
    <t>松江市</t>
    <rPh sb="0" eb="2">
      <t>マツエ</t>
    </rPh>
    <rPh sb="2" eb="3">
      <t>シ</t>
    </rPh>
    <phoneticPr fontId="2"/>
  </si>
  <si>
    <t>松江市、鹿島町、島根町、美保関町、八雲村、玉湯町、宍道町、八束町</t>
    <rPh sb="0" eb="3">
      <t>マツエシ</t>
    </rPh>
    <rPh sb="4" eb="7">
      <t>カシマチョウ</t>
    </rPh>
    <rPh sb="8" eb="11">
      <t>シマネチョウ</t>
    </rPh>
    <rPh sb="12" eb="16">
      <t>ミホノセキチョウ</t>
    </rPh>
    <rPh sb="17" eb="20">
      <t>ヤクモムラ</t>
    </rPh>
    <rPh sb="21" eb="24">
      <t>タマユチョウ</t>
    </rPh>
    <rPh sb="25" eb="28">
      <t>シンジチョウ</t>
    </rPh>
    <rPh sb="29" eb="31">
      <t>ヤツカ</t>
    </rPh>
    <rPh sb="31" eb="32">
      <t>チョウ</t>
    </rPh>
    <phoneticPr fontId="2"/>
  </si>
  <si>
    <t>新設</t>
    <phoneticPr fontId="2"/>
  </si>
  <si>
    <t>青森市、浪岡町</t>
  </si>
  <si>
    <t>富山市、大沢野町、大山町、八尾町、婦中町、山田村、細入村</t>
  </si>
  <si>
    <t>松本市 ※</t>
    <rPh sb="0" eb="3">
      <t>マツモトシ</t>
    </rPh>
    <phoneticPr fontId="2"/>
  </si>
  <si>
    <t>四賀村、安曇村、奈川村、梓川村</t>
    <phoneticPr fontId="2"/>
  </si>
  <si>
    <t>一宮市 ※</t>
    <rPh sb="0" eb="2">
      <t>イチノミヤ</t>
    </rPh>
    <rPh sb="2" eb="3">
      <t>シ</t>
    </rPh>
    <phoneticPr fontId="2"/>
  </si>
  <si>
    <t>尾西市、木曽川町</t>
    <rPh sb="4" eb="7">
      <t>キソガワ</t>
    </rPh>
    <rPh sb="7" eb="8">
      <t>マチ</t>
    </rPh>
    <phoneticPr fontId="2"/>
  </si>
  <si>
    <t>豊田市、藤岡町、小原村、足助町、下山村、旭町、稲武町</t>
  </si>
  <si>
    <t>奈良市、月ヶ瀬村、都祁村</t>
  </si>
  <si>
    <t>佐世保市</t>
    <rPh sb="0" eb="4">
      <t>サセボシ</t>
    </rPh>
    <phoneticPr fontId="2"/>
  </si>
  <si>
    <t>吉井町、世知原町</t>
    <rPh sb="0" eb="3">
      <t>ヨシイチョウ</t>
    </rPh>
    <rPh sb="4" eb="7">
      <t>セチバル</t>
    </rPh>
    <rPh sb="7" eb="8">
      <t>マチ</t>
    </rPh>
    <phoneticPr fontId="2"/>
  </si>
  <si>
    <t>倉敷市、船穂町、真備町</t>
  </si>
  <si>
    <t>高松市、塩江町</t>
  </si>
  <si>
    <t>岡崎市、額田町</t>
  </si>
  <si>
    <t>岐阜市、柳津町</t>
  </si>
  <si>
    <t>宮崎市、佐土原町、田野町、高岡町</t>
  </si>
  <si>
    <t>長崎市、琴海町</t>
  </si>
  <si>
    <t>高松市、牟礼町、庵治町、香川町、香南町、国分寺町</t>
    <rPh sb="4" eb="7">
      <t>ムレチョウ</t>
    </rPh>
    <phoneticPr fontId="2"/>
  </si>
  <si>
    <t>盛岡市</t>
    <rPh sb="0" eb="3">
      <t>モリオカシ</t>
    </rPh>
    <phoneticPr fontId="2"/>
  </si>
  <si>
    <t>盛岡市、玉山村</t>
    <rPh sb="0" eb="3">
      <t>モリオカシ</t>
    </rPh>
    <rPh sb="4" eb="7">
      <t>タマヤマムラ</t>
    </rPh>
    <phoneticPr fontId="2"/>
  </si>
  <si>
    <t>高崎市</t>
    <rPh sb="0" eb="3">
      <t>タカサキシ</t>
    </rPh>
    <phoneticPr fontId="2"/>
  </si>
  <si>
    <t>高崎市、倉渕村、箕郷町、群馬町、新町</t>
  </si>
  <si>
    <t>福井市、美山町、越廼村、清水町</t>
    <phoneticPr fontId="2"/>
  </si>
  <si>
    <t>甲府市</t>
    <rPh sb="0" eb="3">
      <t>コウフシ</t>
    </rPh>
    <phoneticPr fontId="2"/>
  </si>
  <si>
    <t>甲府市、中道町、上九一色村北部</t>
    <phoneticPr fontId="2"/>
  </si>
  <si>
    <t>福山市</t>
    <rPh sb="0" eb="3">
      <t>フクヤマシ</t>
    </rPh>
    <phoneticPr fontId="2"/>
  </si>
  <si>
    <t>福山市、神辺町</t>
    <rPh sb="0" eb="3">
      <t>フクヤマシ</t>
    </rPh>
    <rPh sb="4" eb="5">
      <t>カミ</t>
    </rPh>
    <rPh sb="5" eb="6">
      <t>ベ</t>
    </rPh>
    <rPh sb="6" eb="7">
      <t>チョウ</t>
    </rPh>
    <phoneticPr fontId="2"/>
  </si>
  <si>
    <t>大津市、志賀町</t>
  </si>
  <si>
    <t>姫路市</t>
    <rPh sb="0" eb="3">
      <t>ヒメジシ</t>
    </rPh>
    <phoneticPr fontId="2"/>
  </si>
  <si>
    <t>姫路市、家島町、夢前町、香寺町、安富町</t>
    <rPh sb="0" eb="3">
      <t>ヒメジシ</t>
    </rPh>
    <rPh sb="12" eb="15">
      <t>コウデラチョウ</t>
    </rPh>
    <rPh sb="16" eb="19">
      <t>ヤスドミチョウ</t>
    </rPh>
    <phoneticPr fontId="2"/>
  </si>
  <si>
    <t>小佐々町、宇久町</t>
    <rPh sb="0" eb="4">
      <t>コサザチョウ</t>
    </rPh>
    <rPh sb="5" eb="8">
      <t>ウクマチ</t>
    </rPh>
    <phoneticPr fontId="2"/>
  </si>
  <si>
    <t>高崎市、榛名町</t>
    <rPh sb="0" eb="3">
      <t>タカサキシ</t>
    </rPh>
    <rPh sb="4" eb="6">
      <t>ハルナ</t>
    </rPh>
    <rPh sb="6" eb="7">
      <t>チョウ</t>
    </rPh>
    <phoneticPr fontId="2"/>
  </si>
  <si>
    <t>宇都宮市</t>
    <rPh sb="0" eb="4">
      <t>ウツノミヤシ</t>
    </rPh>
    <phoneticPr fontId="2"/>
  </si>
  <si>
    <t>宇都宮市、上河内町、河内町</t>
    <rPh sb="0" eb="4">
      <t>ウツノミヤシ</t>
    </rPh>
    <rPh sb="5" eb="6">
      <t>カミ</t>
    </rPh>
    <rPh sb="6" eb="8">
      <t>カワチ</t>
    </rPh>
    <rPh sb="8" eb="9">
      <t>チョウ</t>
    </rPh>
    <rPh sb="10" eb="13">
      <t>カワチチョウ</t>
    </rPh>
    <phoneticPr fontId="2"/>
  </si>
  <si>
    <t>高知市</t>
    <rPh sb="0" eb="3">
      <t>コウチシ</t>
    </rPh>
    <phoneticPr fontId="2"/>
  </si>
  <si>
    <t>高知市、春野町</t>
    <rPh sb="0" eb="3">
      <t>コウチシ</t>
    </rPh>
    <rPh sb="4" eb="7">
      <t>ハルノチョウ</t>
    </rPh>
    <phoneticPr fontId="2"/>
  </si>
  <si>
    <t>福島市、飯野町</t>
    <phoneticPr fontId="2"/>
  </si>
  <si>
    <t>前橋市、富士見村</t>
    <phoneticPr fontId="2"/>
  </si>
  <si>
    <t>高崎市、吉井町</t>
    <phoneticPr fontId="2"/>
  </si>
  <si>
    <t>長野市</t>
    <rPh sb="0" eb="3">
      <t>ナガノシ</t>
    </rPh>
    <phoneticPr fontId="2"/>
  </si>
  <si>
    <t>長野市、信州新町、中条村</t>
    <rPh sb="0" eb="3">
      <t>ナガノシ</t>
    </rPh>
    <rPh sb="4" eb="6">
      <t>シンシュウ</t>
    </rPh>
    <rPh sb="6" eb="8">
      <t>シンマチ</t>
    </rPh>
    <rPh sb="9" eb="12">
      <t>ナカジョウムラ</t>
    </rPh>
    <phoneticPr fontId="2"/>
  </si>
  <si>
    <t>宮崎市</t>
    <rPh sb="0" eb="3">
      <t>ミヤザキシ</t>
    </rPh>
    <phoneticPr fontId="2"/>
  </si>
  <si>
    <t>宮崎市、清武町</t>
    <rPh sb="0" eb="3">
      <t>ミヤザキシ</t>
    </rPh>
    <rPh sb="4" eb="5">
      <t>キヨ</t>
    </rPh>
    <rPh sb="5" eb="6">
      <t>タケ</t>
    </rPh>
    <rPh sb="6" eb="7">
      <t>チョウ</t>
    </rPh>
    <phoneticPr fontId="2"/>
  </si>
  <si>
    <t>波田町</t>
    <rPh sb="0" eb="2">
      <t>ハタ</t>
    </rPh>
    <rPh sb="2" eb="3">
      <t>マチ</t>
    </rPh>
    <phoneticPr fontId="2"/>
  </si>
  <si>
    <t>江迎町、鹿町町</t>
    <rPh sb="0" eb="2">
      <t>エムカエ</t>
    </rPh>
    <rPh sb="2" eb="3">
      <t>マチ</t>
    </rPh>
    <rPh sb="4" eb="6">
      <t>シカマチ</t>
    </rPh>
    <rPh sb="6" eb="7">
      <t>マチ</t>
    </rPh>
    <phoneticPr fontId="2"/>
  </si>
  <si>
    <t>松江市</t>
    <phoneticPr fontId="2"/>
  </si>
  <si>
    <t>松江市、東出雲町</t>
    <phoneticPr fontId="2"/>
  </si>
  <si>
    <t>川口市</t>
    <phoneticPr fontId="2"/>
  </si>
  <si>
    <t>川口市、鳩ケ谷市</t>
    <phoneticPr fontId="2"/>
  </si>
  <si>
    <t>※令和3年4月1日移行</t>
    <phoneticPr fontId="2"/>
  </si>
  <si>
    <t>　２．中核市移行の経緯</t>
    <rPh sb="3" eb="6">
      <t>チュウカクシ</t>
    </rPh>
    <rPh sb="6" eb="8">
      <t>イコウ</t>
    </rPh>
    <rPh sb="9" eb="11">
      <t>ケイイ</t>
    </rPh>
    <phoneticPr fontId="2"/>
  </si>
  <si>
    <t>施行年月日</t>
    <rPh sb="0" eb="2">
      <t>セコウ</t>
    </rPh>
    <rPh sb="2" eb="5">
      <t>ネンガッピ</t>
    </rPh>
    <phoneticPr fontId="2"/>
  </si>
  <si>
    <t>中核市数</t>
    <rPh sb="0" eb="3">
      <t>チュウカクシ</t>
    </rPh>
    <rPh sb="3" eb="4">
      <t>スウ</t>
    </rPh>
    <phoneticPr fontId="2"/>
  </si>
  <si>
    <t>備　　　　　考</t>
    <rPh sb="0" eb="1">
      <t>ビ</t>
    </rPh>
    <rPh sb="6" eb="7">
      <t>コウ</t>
    </rPh>
    <phoneticPr fontId="2"/>
  </si>
  <si>
    <t>宇都宮市、新潟市、富山市、金沢市、岐阜市、静岡市、浜松市、堺市、姫路市
岡山市、熊本市、鹿児島市（１２市移行）</t>
    <phoneticPr fontId="2"/>
  </si>
  <si>
    <t>秋田市、郡山市、和歌山市、長崎市、大分市（５市移行）</t>
  </si>
  <si>
    <t>豊田市、福山市、高知市、宮崎市（４市移行）</t>
  </si>
  <si>
    <t>いわき市、長野市、豊橋市、高松市（４市移行）</t>
  </si>
  <si>
    <t>旭川市、松山市（２市移行）</t>
    <rPh sb="0" eb="3">
      <t>アサヒカワシ</t>
    </rPh>
    <rPh sb="4" eb="7">
      <t>マツヤマシ</t>
    </rPh>
    <rPh sb="9" eb="10">
      <t>シ</t>
    </rPh>
    <rPh sb="10" eb="12">
      <t>イコウ</t>
    </rPh>
    <phoneticPr fontId="2"/>
  </si>
  <si>
    <t>横須賀市（１市移行）</t>
  </si>
  <si>
    <t>奈良市、倉敷市（２市移行）</t>
  </si>
  <si>
    <t>川越市、船橋市、相模原市、岡崎市、高槻市（5市移行※静岡市は再指定）</t>
  </si>
  <si>
    <t>東大阪市（1市移行※静岡市は指定都市へ移行　富山市は再指定）　　　　　　　　　　　　　　</t>
    <rPh sb="22" eb="25">
      <t>トヤマシ</t>
    </rPh>
    <rPh sb="26" eb="29">
      <t>サイシテイ</t>
    </rPh>
    <phoneticPr fontId="2"/>
  </si>
  <si>
    <t>函館市、下関市（２市移行）</t>
  </si>
  <si>
    <t>（堺市は指定都市へ移行）</t>
    <rPh sb="1" eb="3">
      <t>サカイシ</t>
    </rPh>
    <rPh sb="4" eb="6">
      <t>シテイ</t>
    </rPh>
    <rPh sb="6" eb="8">
      <t>トシ</t>
    </rPh>
    <rPh sb="9" eb="11">
      <t>イコウ</t>
    </rPh>
    <phoneticPr fontId="2"/>
  </si>
  <si>
    <t>青森市（１市移行）</t>
    <rPh sb="0" eb="3">
      <t>アオモリシ</t>
    </rPh>
    <rPh sb="5" eb="6">
      <t>シ</t>
    </rPh>
    <rPh sb="6" eb="8">
      <t>イコウ</t>
    </rPh>
    <phoneticPr fontId="2"/>
  </si>
  <si>
    <t>(新潟市・浜松市は指定都市へ移行）</t>
    <rPh sb="1" eb="4">
      <t>ニイガタシ</t>
    </rPh>
    <rPh sb="5" eb="8">
      <t>ハママツシ</t>
    </rPh>
    <rPh sb="9" eb="11">
      <t>シテイ</t>
    </rPh>
    <rPh sb="11" eb="13">
      <t>トシ</t>
    </rPh>
    <rPh sb="14" eb="16">
      <t>イコウ</t>
    </rPh>
    <phoneticPr fontId="2"/>
  </si>
  <si>
    <t>盛岡市、柏市、西宮市、久留米市（４市移行）</t>
    <rPh sb="0" eb="3">
      <t>モリオカシ</t>
    </rPh>
    <rPh sb="4" eb="5">
      <t>カシワ</t>
    </rPh>
    <rPh sb="5" eb="6">
      <t>シ</t>
    </rPh>
    <rPh sb="7" eb="10">
      <t>ニシノミヤシ</t>
    </rPh>
    <rPh sb="11" eb="15">
      <t>クルメシ</t>
    </rPh>
    <rPh sb="17" eb="18">
      <t>シ</t>
    </rPh>
    <rPh sb="18" eb="20">
      <t>イコウ</t>
    </rPh>
    <phoneticPr fontId="2"/>
  </si>
  <si>
    <t>前橋市、大津市、尼崎市（３市移行※岡山市は指定都市へ移行）</t>
    <rPh sb="0" eb="3">
      <t>マエバシシ</t>
    </rPh>
    <rPh sb="4" eb="7">
      <t>オオツシ</t>
    </rPh>
    <rPh sb="8" eb="11">
      <t>アマガサキシ</t>
    </rPh>
    <rPh sb="13" eb="16">
      <t>シイコウ</t>
    </rPh>
    <rPh sb="17" eb="20">
      <t>オカヤマシ</t>
    </rPh>
    <rPh sb="21" eb="23">
      <t>シテイ</t>
    </rPh>
    <rPh sb="23" eb="25">
      <t>トシ</t>
    </rPh>
    <rPh sb="26" eb="28">
      <t>イコウ</t>
    </rPh>
    <phoneticPr fontId="2"/>
  </si>
  <si>
    <t>(相模原市は指定都市へ移行)</t>
    <rPh sb="1" eb="5">
      <t>サガミハラシ</t>
    </rPh>
    <rPh sb="6" eb="8">
      <t>シテイ</t>
    </rPh>
    <rPh sb="8" eb="10">
      <t>トシ</t>
    </rPh>
    <rPh sb="11" eb="13">
      <t>イコウ</t>
    </rPh>
    <phoneticPr fontId="2"/>
  </si>
  <si>
    <t>高崎市（１市移行）</t>
    <rPh sb="0" eb="2">
      <t>タカサキ</t>
    </rPh>
    <rPh sb="2" eb="3">
      <t>シ</t>
    </rPh>
    <rPh sb="5" eb="6">
      <t>シ</t>
    </rPh>
    <rPh sb="6" eb="8">
      <t>イコウ</t>
    </rPh>
    <phoneticPr fontId="2"/>
  </si>
  <si>
    <t>豊中市（１市移行※熊本市は指定都市へ移行）</t>
    <rPh sb="0" eb="2">
      <t>トヨナカ</t>
    </rPh>
    <rPh sb="2" eb="3">
      <t>シ</t>
    </rPh>
    <rPh sb="5" eb="6">
      <t>シ</t>
    </rPh>
    <rPh sb="6" eb="8">
      <t>イコウ</t>
    </rPh>
    <rPh sb="9" eb="12">
      <t>クマモトシ</t>
    </rPh>
    <rPh sb="13" eb="15">
      <t>シテイ</t>
    </rPh>
    <rPh sb="15" eb="17">
      <t>トシ</t>
    </rPh>
    <rPh sb="18" eb="20">
      <t>イコウ</t>
    </rPh>
    <phoneticPr fontId="2"/>
  </si>
  <si>
    <t>那覇市（１市移行）</t>
    <rPh sb="0" eb="2">
      <t>ナハ</t>
    </rPh>
    <rPh sb="2" eb="3">
      <t>シ</t>
    </rPh>
    <rPh sb="3" eb="4">
      <t>トヨイチ</t>
    </rPh>
    <rPh sb="5" eb="6">
      <t>シ</t>
    </rPh>
    <rPh sb="6" eb="8">
      <t>イコウ</t>
    </rPh>
    <phoneticPr fontId="2"/>
  </si>
  <si>
    <t>枚方市（１市移行）</t>
    <rPh sb="0" eb="2">
      <t>ヒラカタ</t>
    </rPh>
    <rPh sb="2" eb="3">
      <t>シ</t>
    </rPh>
    <rPh sb="3" eb="4">
      <t>トヨイチ</t>
    </rPh>
    <rPh sb="5" eb="6">
      <t>シ</t>
    </rPh>
    <rPh sb="6" eb="8">
      <t>イコウ</t>
    </rPh>
    <phoneticPr fontId="2"/>
  </si>
  <si>
    <t>越谷市、八王子市（２市移行）</t>
    <rPh sb="0" eb="2">
      <t>コシガヤ</t>
    </rPh>
    <rPh sb="2" eb="3">
      <t>シ</t>
    </rPh>
    <rPh sb="4" eb="8">
      <t>ハチオウジシ</t>
    </rPh>
    <rPh sb="8" eb="9">
      <t>トヨイチ</t>
    </rPh>
    <rPh sb="10" eb="11">
      <t>シ</t>
    </rPh>
    <rPh sb="11" eb="13">
      <t>イコウ</t>
    </rPh>
    <phoneticPr fontId="2"/>
  </si>
  <si>
    <t>呉市、佐世保市（２市移行）</t>
    <rPh sb="0" eb="2">
      <t>クレシ</t>
    </rPh>
    <rPh sb="3" eb="7">
      <t>サセボシ</t>
    </rPh>
    <rPh sb="7" eb="8">
      <t>トヨイチ</t>
    </rPh>
    <rPh sb="9" eb="10">
      <t>シ</t>
    </rPh>
    <rPh sb="10" eb="12">
      <t>イコウ</t>
    </rPh>
    <phoneticPr fontId="2"/>
  </si>
  <si>
    <t>八戸市（１市移行）</t>
    <rPh sb="0" eb="2">
      <t>ハチノヘ</t>
    </rPh>
    <rPh sb="2" eb="3">
      <t>シ</t>
    </rPh>
    <rPh sb="3" eb="4">
      <t>トヨイチ</t>
    </rPh>
    <rPh sb="5" eb="6">
      <t>シ</t>
    </rPh>
    <rPh sb="6" eb="8">
      <t>イコウ</t>
    </rPh>
    <phoneticPr fontId="2"/>
  </si>
  <si>
    <t>福島市、川口市、八尾市、明石市、鳥取市、松江市（６市移行）</t>
    <rPh sb="0" eb="2">
      <t>フクシマ</t>
    </rPh>
    <rPh sb="2" eb="3">
      <t>シ</t>
    </rPh>
    <rPh sb="4" eb="6">
      <t>カワグチ</t>
    </rPh>
    <rPh sb="6" eb="7">
      <t>シ</t>
    </rPh>
    <rPh sb="8" eb="11">
      <t>ヤオシ</t>
    </rPh>
    <rPh sb="12" eb="15">
      <t>アカシシ</t>
    </rPh>
    <rPh sb="16" eb="19">
      <t>トットリシ</t>
    </rPh>
    <rPh sb="20" eb="23">
      <t>マツエシ</t>
    </rPh>
    <rPh sb="23" eb="24">
      <t>トヨイチ</t>
    </rPh>
    <rPh sb="25" eb="26">
      <t>シ</t>
    </rPh>
    <rPh sb="26" eb="28">
      <t>イコウ</t>
    </rPh>
    <phoneticPr fontId="2"/>
  </si>
  <si>
    <t>山形市、福井市、甲府市、寝屋川市（４市移行）</t>
    <rPh sb="0" eb="3">
      <t>ヤマガタシ</t>
    </rPh>
    <rPh sb="4" eb="7">
      <t>フクイシ</t>
    </rPh>
    <rPh sb="8" eb="11">
      <t>コウフシ</t>
    </rPh>
    <rPh sb="12" eb="15">
      <t>ネヤガワ</t>
    </rPh>
    <rPh sb="15" eb="16">
      <t>シ</t>
    </rPh>
    <rPh sb="16" eb="17">
      <t>トヨイチ</t>
    </rPh>
    <rPh sb="18" eb="19">
      <t>シ</t>
    </rPh>
    <rPh sb="19" eb="21">
      <t>イコウ</t>
    </rPh>
    <phoneticPr fontId="2"/>
  </si>
  <si>
    <t>水戸市、吹田市（２市移行）</t>
    <rPh sb="0" eb="2">
      <t>ミト</t>
    </rPh>
    <rPh sb="2" eb="3">
      <t>シ</t>
    </rPh>
    <rPh sb="4" eb="6">
      <t>スイタ</t>
    </rPh>
    <rPh sb="6" eb="7">
      <t>シ</t>
    </rPh>
    <rPh sb="7" eb="8">
      <t>トヨイチ</t>
    </rPh>
    <rPh sb="9" eb="10">
      <t>シ</t>
    </rPh>
    <rPh sb="10" eb="12">
      <t>イコウ</t>
    </rPh>
    <phoneticPr fontId="2"/>
  </si>
  <si>
    <t>松本市、一宮市（２市移行）</t>
    <rPh sb="0" eb="2">
      <t>マツモト</t>
    </rPh>
    <rPh sb="2" eb="3">
      <t>シ</t>
    </rPh>
    <rPh sb="4" eb="6">
      <t>イチノミヤ</t>
    </rPh>
    <rPh sb="6" eb="7">
      <t>シ</t>
    </rPh>
    <rPh sb="7" eb="8">
      <t>トヨイチ</t>
    </rPh>
    <rPh sb="9" eb="10">
      <t>シ</t>
    </rPh>
    <rPh sb="10" eb="12">
      <t>イコウ</t>
    </rPh>
    <phoneticPr fontId="2"/>
  </si>
  <si>
    <t>…</t>
    <phoneticPr fontId="2"/>
  </si>
  <si>
    <t>□【長崎市】国道は実延長</t>
    <phoneticPr fontId="2"/>
  </si>
  <si>
    <t>　【高槻市】自治会加入率は、令和2年6月1日現在を記入、【越谷市】自治会加入率は、令和2年5月1日現在を記入</t>
    <phoneticPr fontId="2"/>
  </si>
  <si>
    <t>吹田市</t>
  </si>
  <si>
    <t>一宮市</t>
  </si>
  <si>
    <t>□高知市の総貸出冊数は，県市共同運営による</t>
    <rPh sb="1" eb="4">
      <t>コウチシ</t>
    </rPh>
    <rPh sb="5" eb="6">
      <t>ソウ</t>
    </rPh>
    <rPh sb="6" eb="8">
      <t>カシダシ</t>
    </rPh>
    <rPh sb="8" eb="10">
      <t>サツスウ</t>
    </rPh>
    <phoneticPr fontId="2"/>
  </si>
  <si>
    <t>　オーテ ピア高知図書館と市民図書館分館等の</t>
    <rPh sb="18" eb="20">
      <t>ブンカン</t>
    </rPh>
    <rPh sb="20" eb="21">
      <t>トウ</t>
    </rPh>
    <phoneticPr fontId="2"/>
  </si>
  <si>
    <t>　合算（平成30年度から）</t>
    <rPh sb="4" eb="6">
      <t>ヘイセイ</t>
    </rPh>
    <rPh sb="8" eb="10">
      <t>ネンド</t>
    </rPh>
    <phoneticPr fontId="2"/>
  </si>
  <si>
    <t>☐【枚方市】自治会加入率は、令和2年3月31日現在を記入、【水戸市】自治会加入率は、令和2年1月1日現在を記入</t>
    <rPh sb="30" eb="32">
      <t>ミト</t>
    </rPh>
    <phoneticPr fontId="2"/>
  </si>
  <si>
    <t>-</t>
    <phoneticPr fontId="2"/>
  </si>
  <si>
    <t>３　保健・福祉</t>
    <phoneticPr fontId="2"/>
  </si>
  <si>
    <t>□尼崎市の新設住宅着工戸数については、R3.4現在確認中</t>
    <rPh sb="1" eb="4">
      <t>アマガサキシ</t>
    </rPh>
    <rPh sb="23" eb="25">
      <t>ゲンザイ</t>
    </rPh>
    <rPh sb="25" eb="28">
      <t>カクニンチュウ</t>
    </rPh>
    <phoneticPr fontId="2"/>
  </si>
  <si>
    <t>※枚方市市民会館大ホール（1,448席）は、平成30年6月18日に発生した大阪北部地震により天井を損傷したため、同年10月10日に廃止</t>
    <phoneticPr fontId="2"/>
  </si>
  <si>
    <t>ごみの総排出量（処理量・令和元年度実績）</t>
    <rPh sb="3" eb="4">
      <t>ソウ</t>
    </rPh>
    <rPh sb="4" eb="6">
      <t>ハイシュツ</t>
    </rPh>
    <rPh sb="6" eb="7">
      <t>リョウ</t>
    </rPh>
    <rPh sb="8" eb="10">
      <t>ショリ</t>
    </rPh>
    <rPh sb="10" eb="11">
      <t>リョウ</t>
    </rPh>
    <rPh sb="12" eb="14">
      <t>レイワ</t>
    </rPh>
    <rPh sb="14" eb="15">
      <t>ガン</t>
    </rPh>
    <rPh sb="15" eb="17">
      <t>ネンド</t>
    </rPh>
    <rPh sb="17" eb="19">
      <t>ジッセキ</t>
    </rPh>
    <phoneticPr fontId="2"/>
  </si>
  <si>
    <t>☐一般廃棄物処理事業実態調査（令和元年度実績）より記入</t>
    <rPh sb="15" eb="17">
      <t>レイワ</t>
    </rPh>
    <rPh sb="17" eb="18">
      <t>ガン</t>
    </rPh>
    <phoneticPr fontId="2"/>
  </si>
  <si>
    <t>☐１人１日当たりのごみ排出量　　ごみ排出量（計画収集量、直接搬入量、集団回収量を加えた事業系を含む一般廃棄物の排出量） / 人口 / 366 日</t>
    <phoneticPr fontId="2"/>
  </si>
  <si>
    <t>☐１人１日当たりの家庭系ごみ排出量　　家庭系ごみ排出量（集団回収量、資源ごみ等を除いた家庭からの一般廃棄物の排出量） / 人口 / 366 日</t>
    <phoneticPr fontId="2"/>
  </si>
  <si>
    <r>
      <t>・</t>
    </r>
    <r>
      <rPr>
        <sz val="11"/>
        <rFont val="ＭＳ Ｐゴシック"/>
        <family val="3"/>
        <charset val="128"/>
      </rPr>
      <t>平成28年経済センサス活動調査より記入（平成30年度より基準を変更し、第３次産業に「公務」を含まないことで統一する）</t>
    </r>
    <rPh sb="6" eb="8">
      <t>ケイザイ</t>
    </rPh>
    <rPh sb="12" eb="14">
      <t>カツドウ</t>
    </rPh>
    <rPh sb="14" eb="16">
      <t>チョウサ</t>
    </rPh>
    <rPh sb="18" eb="20">
      <t>キニュウ</t>
    </rPh>
    <rPh sb="21" eb="23">
      <t>ヘイセイ</t>
    </rPh>
    <rPh sb="25" eb="26">
      <t>ネン</t>
    </rPh>
    <rPh sb="26" eb="27">
      <t>ド</t>
    </rPh>
    <rPh sb="29" eb="31">
      <t>キジュン</t>
    </rPh>
    <rPh sb="32" eb="34">
      <t>ヘンコウ</t>
    </rPh>
    <rPh sb="36" eb="37">
      <t>ダイ</t>
    </rPh>
    <rPh sb="38" eb="39">
      <t>ジ</t>
    </rPh>
    <rPh sb="39" eb="41">
      <t>サンギョウ</t>
    </rPh>
    <rPh sb="43" eb="45">
      <t>コウム</t>
    </rPh>
    <rPh sb="47" eb="48">
      <t>フク</t>
    </rPh>
    <rPh sb="54" eb="56">
      <t>トウイツ</t>
    </rPh>
    <phoneticPr fontId="2"/>
  </si>
  <si>
    <t>・2020年農林業センサスより記入</t>
    <rPh sb="5" eb="6">
      <t>ネン</t>
    </rPh>
    <rPh sb="6" eb="9">
      <t>ノウリンギョウ</t>
    </rPh>
    <rPh sb="15" eb="17">
      <t>キニュウ</t>
    </rPh>
    <phoneticPr fontId="2"/>
  </si>
  <si>
    <t>・一般廃棄物処理事業実態調査（令和元年度実績）</t>
    <rPh sb="1" eb="3">
      <t>イッパン</t>
    </rPh>
    <rPh sb="3" eb="6">
      <t>ハイキブツ</t>
    </rPh>
    <rPh sb="6" eb="8">
      <t>ショリ</t>
    </rPh>
    <rPh sb="8" eb="10">
      <t>ジギョウ</t>
    </rPh>
    <rPh sb="10" eb="12">
      <t>ジッタイ</t>
    </rPh>
    <rPh sb="12" eb="14">
      <t>チョウサ</t>
    </rPh>
    <rPh sb="15" eb="17">
      <t>レイワ</t>
    </rPh>
    <rPh sb="17" eb="18">
      <t>ガン</t>
    </rPh>
    <rPh sb="18" eb="20">
      <t>ネンド</t>
    </rPh>
    <rPh sb="20" eb="22">
      <t>ジッセキ</t>
    </rPh>
    <phoneticPr fontId="2"/>
  </si>
  <si>
    <t>☐農業は、2020年農林業センサスより記入</t>
    <rPh sb="10" eb="13">
      <t>ノウリンギョウ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</si>
</sst>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quot;△ &quot;#,##0"/>
    <numFmt numFmtId="177" formatCode="#,##0.0;&quot;△ &quot;#,##0.0"/>
    <numFmt numFmtId="178" formatCode="#,##0.00;&quot;△ &quot;#,##0.00"/>
    <numFmt numFmtId="179" formatCode="[$-411]ggge&quot;年&quot;m&quot;月&quot;d&quot;日&quot;;@"/>
    <numFmt numFmtId="180" formatCode="0.0"/>
    <numFmt numFmtId="181" formatCode="#,##0.0;[Red]\-#,##0.0"/>
    <numFmt numFmtId="182" formatCode="#,##0.0_ "/>
    <numFmt numFmtId="183" formatCode="0.0;&quot;△ &quot;0.0"/>
    <numFmt numFmtId="184" formatCode="#,##0_);[Red]\(#,##0\)"/>
    <numFmt numFmtId="185" formatCode="#,##0.0_);[Red]\(#,##0.0\)"/>
    <numFmt numFmtId="186" formatCode="0.0_);[Red]\(0.0\)"/>
    <numFmt numFmtId="187" formatCode="#,##0;&quot;▲ &quot;#,##0"/>
    <numFmt numFmtId="188" formatCode="#,##0_ "/>
    <numFmt numFmtId="189" formatCode="0;&quot;△ &quot;0"/>
    <numFmt numFmtId="190" formatCode="0.000_);[Red]\(0.000\)"/>
  </numFmts>
  <fonts count="82"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46"/>
      <name val="HG創英角ｺﾞｼｯｸUB"/>
      <family val="3"/>
      <charset val="128"/>
    </font>
    <font>
      <sz val="22"/>
      <name val="ＭＳ Ｐゴシック"/>
      <family val="3"/>
      <charset val="128"/>
    </font>
    <font>
      <sz val="18"/>
      <name val="ＭＳ Ｐゴシック"/>
      <family val="3"/>
      <charset val="128"/>
    </font>
    <font>
      <sz val="20"/>
      <name val="ＭＳ Ｐゴシック"/>
      <family val="3"/>
      <charset val="128"/>
    </font>
    <font>
      <b/>
      <sz val="24"/>
      <name val="ＭＳ Ｐゴシック"/>
      <family val="3"/>
      <charset val="128"/>
    </font>
    <font>
      <b/>
      <sz val="11"/>
      <name val="ＭＳ Ｐゴシック"/>
      <family val="3"/>
      <charset val="128"/>
    </font>
    <font>
      <sz val="12"/>
      <name val="ＭＳ Ｐゴシック"/>
      <family val="3"/>
      <charset val="128"/>
    </font>
    <font>
      <b/>
      <sz val="16"/>
      <name val="ＭＳ Ｐゴシック"/>
      <family val="3"/>
      <charset val="128"/>
    </font>
    <font>
      <sz val="16"/>
      <name val="ＭＳ Ｐ明朝"/>
      <family val="1"/>
      <charset val="128"/>
    </font>
    <font>
      <b/>
      <sz val="12"/>
      <name val="ＭＳ Ｐ明朝"/>
      <family val="1"/>
      <charset val="128"/>
    </font>
    <font>
      <b/>
      <sz val="11"/>
      <name val="ＭＳ Ｐ明朝"/>
      <family val="1"/>
      <charset val="128"/>
    </font>
    <font>
      <sz val="11"/>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10"/>
      <name val="ＭＳ Ｐゴシック"/>
      <family val="3"/>
      <charset val="128"/>
    </font>
    <font>
      <sz val="13"/>
      <name val="ＭＳ Ｐ明朝"/>
      <family val="1"/>
      <charset val="128"/>
    </font>
    <font>
      <sz val="13"/>
      <color rgb="FFFF0000"/>
      <name val="ＭＳ Ｐ明朝"/>
      <family val="1"/>
      <charset val="128"/>
    </font>
    <font>
      <sz val="9"/>
      <name val="ＭＳ Ｐゴシック"/>
      <family val="3"/>
      <charset val="128"/>
    </font>
    <font>
      <sz val="9"/>
      <name val="ＭＳ Ｐ明朝"/>
      <family val="1"/>
      <charset val="128"/>
    </font>
    <font>
      <sz val="9"/>
      <name val="ＭＳ ゴシック"/>
      <family val="3"/>
      <charset val="128"/>
    </font>
    <font>
      <sz val="9"/>
      <name val="ＭＳ 明朝"/>
      <family val="1"/>
      <charset val="128"/>
    </font>
    <font>
      <sz val="8"/>
      <name val="ＭＳ Ｐ明朝"/>
      <family val="1"/>
      <charset val="128"/>
    </font>
    <font>
      <sz val="13"/>
      <color theme="1"/>
      <name val="ＭＳ Ｐ明朝"/>
      <family val="1"/>
      <charset val="128"/>
    </font>
    <font>
      <b/>
      <sz val="12"/>
      <name val="ＭＳ Ｐゴシック"/>
      <family val="3"/>
      <charset val="128"/>
    </font>
    <font>
      <sz val="14"/>
      <name val="ＭＳ Ｐゴシック"/>
      <family val="3"/>
      <charset val="128"/>
    </font>
    <font>
      <b/>
      <sz val="12"/>
      <name val="ＭＳ ゴシック"/>
      <family val="3"/>
      <charset val="128"/>
    </font>
    <font>
      <sz val="6"/>
      <name val="ＭＳ Ｐ明朝"/>
      <family val="1"/>
      <charset val="128"/>
    </font>
    <font>
      <sz val="13"/>
      <name val="ＭＳ Ｐゴシック"/>
      <family val="3"/>
      <charset val="128"/>
    </font>
    <font>
      <sz val="11"/>
      <color theme="1"/>
      <name val="ＭＳ Ｐゴシック"/>
      <family val="3"/>
      <charset val="128"/>
    </font>
    <font>
      <b/>
      <sz val="9"/>
      <name val="ＭＳ Ｐ明朝"/>
      <family val="1"/>
      <charset val="128"/>
    </font>
    <font>
      <sz val="9"/>
      <color rgb="FFFF0000"/>
      <name val="ＭＳ Ｐ明朝"/>
      <family val="1"/>
      <charset val="128"/>
    </font>
    <font>
      <strike/>
      <sz val="9"/>
      <name val="ＭＳ Ｐ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4"/>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sz val="11"/>
      <color indexed="2"/>
      <name val="ＭＳ Ｐゴシック"/>
      <family val="3"/>
      <charset val="128"/>
    </font>
    <font>
      <sz val="11"/>
      <color theme="1"/>
      <name val="游ゴシック"/>
      <family val="3"/>
      <charset val="128"/>
      <scheme val="minor"/>
    </font>
    <font>
      <sz val="11"/>
      <color indexed="8"/>
      <name val="游ゴシック"/>
      <family val="3"/>
      <charset val="128"/>
      <scheme val="minor"/>
    </font>
    <font>
      <sz val="11"/>
      <color theme="0"/>
      <name val="游ゴシック"/>
      <family val="3"/>
      <charset val="128"/>
      <scheme val="minor"/>
    </font>
    <font>
      <sz val="11"/>
      <color indexed="9"/>
      <name val="游ゴシック"/>
      <family val="3"/>
      <charset val="128"/>
      <scheme val="minor"/>
    </font>
    <font>
      <sz val="18"/>
      <color theme="3"/>
      <name val="游ゴシック Light"/>
      <family val="3"/>
      <charset val="128"/>
      <scheme val="major"/>
    </font>
    <font>
      <sz val="18"/>
      <color theme="3"/>
      <name val="ＭＳ Ｐゴシック"/>
      <family val="3"/>
      <charset val="128"/>
    </font>
    <font>
      <b/>
      <sz val="11"/>
      <color theme="0"/>
      <name val="游ゴシック"/>
      <family val="3"/>
      <charset val="128"/>
      <scheme val="minor"/>
    </font>
    <font>
      <b/>
      <sz val="11"/>
      <color indexed="9"/>
      <name val="游ゴシック"/>
      <family val="3"/>
      <charset val="128"/>
      <scheme val="minor"/>
    </font>
    <font>
      <sz val="11"/>
      <color rgb="FF9C6500"/>
      <name val="ＭＳ Ｐゴシック"/>
      <family val="3"/>
      <charset val="128"/>
    </font>
    <font>
      <sz val="11"/>
      <color rgb="FF9C5700"/>
      <name val="游ゴシック"/>
      <family val="3"/>
      <charset val="128"/>
      <scheme val="minor"/>
    </font>
    <font>
      <sz val="11"/>
      <color rgb="FFFA7D0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ＭＳ Ｐゴシック"/>
      <family val="3"/>
      <charset val="128"/>
    </font>
    <font>
      <b/>
      <sz val="11"/>
      <color rgb="FFFA7D00"/>
      <name val="游ゴシック"/>
      <family val="3"/>
      <charset val="128"/>
      <scheme val="minor"/>
    </font>
    <font>
      <sz val="11"/>
      <color rgb="FFFF0000"/>
      <name val="游ゴシック"/>
      <family val="3"/>
      <charset val="128"/>
      <scheme val="minor"/>
    </font>
    <font>
      <sz val="11"/>
      <color indexed="2"/>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indexed="8"/>
      <name val="游ゴシック"/>
      <family val="3"/>
      <charset val="128"/>
      <scheme val="minor"/>
    </font>
    <font>
      <b/>
      <sz val="11"/>
      <color rgb="FF3F3F3F"/>
      <name val="ＭＳ Ｐゴシック"/>
      <family val="3"/>
      <charset val="128"/>
    </font>
    <font>
      <b/>
      <sz val="11"/>
      <color rgb="FF3F3F3F"/>
      <name val="游ゴシック"/>
      <family val="3"/>
      <charset val="128"/>
      <scheme val="minor"/>
    </font>
    <font>
      <i/>
      <sz val="11"/>
      <color rgb="FF7F7F7F"/>
      <name val="ＭＳ Ｐゴシック"/>
      <family val="3"/>
      <charset val="128"/>
    </font>
    <font>
      <i/>
      <sz val="11"/>
      <color rgb="FF7F7F7F"/>
      <name val="游ゴシック"/>
      <family val="3"/>
      <charset val="128"/>
      <scheme val="minor"/>
    </font>
    <font>
      <sz val="11"/>
      <color rgb="FF3F3F76"/>
      <name val="ＭＳ Ｐゴシック"/>
      <family val="3"/>
      <charset val="128"/>
    </font>
    <font>
      <sz val="11"/>
      <color rgb="FF3F3F76"/>
      <name val="游ゴシック"/>
      <family val="3"/>
      <charset val="128"/>
      <scheme val="minor"/>
    </font>
    <font>
      <sz val="11"/>
      <color rgb="FF006100"/>
      <name val="ＭＳ Ｐゴシック"/>
      <family val="3"/>
      <charset val="128"/>
    </font>
    <font>
      <sz val="11"/>
      <color rgb="FF006100"/>
      <name val="游ゴシック"/>
      <family val="3"/>
      <charset val="128"/>
      <scheme val="minor"/>
    </font>
    <font>
      <sz val="12"/>
      <color theme="1"/>
      <name val="ＭＳ Ｐ明朝"/>
      <family val="1"/>
      <charset val="128"/>
    </font>
    <font>
      <sz val="9"/>
      <color theme="1"/>
      <name val="ＭＳ Ｐ明朝"/>
      <family val="1"/>
      <charset val="128"/>
    </font>
    <font>
      <sz val="13"/>
      <name val="ＭＳ Ｐ明朝"/>
      <family val="1"/>
    </font>
    <font>
      <sz val="13"/>
      <color theme="1"/>
      <name val="ＭＳ Ｐ明朝"/>
      <family val="1"/>
    </font>
    <font>
      <sz val="12"/>
      <name val="ＭＳ Ｐ明朝"/>
      <family val="1"/>
    </font>
  </fonts>
  <fills count="8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49"/>
        <bgColor indexed="64"/>
      </patternFill>
    </fill>
    <fill>
      <patternFill patternType="solid">
        <fgColor indexed="19"/>
        <bgColor indexed="64"/>
      </patternFill>
    </fill>
    <fill>
      <patternFill patternType="solid">
        <fgColor indexed="54"/>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85961485641044"/>
        <bgColor indexed="64"/>
      </patternFill>
    </fill>
    <fill>
      <patternFill patternType="solid">
        <fgColor theme="8" tint="0.79992065187536243"/>
        <bgColor indexed="64"/>
      </patternFill>
    </fill>
    <fill>
      <patternFill patternType="solid">
        <fgColor theme="9" tint="0.79985961485641044"/>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84130375072486"/>
        <bgColor indexed="64"/>
      </patternFill>
    </fill>
    <fill>
      <patternFill patternType="solid">
        <fgColor theme="5" tint="0.59978026673177287"/>
        <bgColor indexed="64"/>
      </patternFill>
    </fill>
    <fill>
      <patternFill patternType="solid">
        <fgColor theme="5" tint="0.59974974822229687"/>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84130375072486"/>
        <bgColor indexed="64"/>
      </patternFill>
    </fill>
    <fill>
      <patternFill patternType="solid">
        <fgColor theme="8" tint="0.59978026673177287"/>
        <bgColor indexed="64"/>
      </patternFill>
    </fill>
    <fill>
      <patternFill patternType="solid">
        <fgColor theme="8" tint="0.59974974822229687"/>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0C0C0"/>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double">
        <color indexed="64"/>
      </left>
      <right style="thin">
        <color indexed="64"/>
      </right>
      <top/>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style="double">
        <color indexed="64"/>
      </right>
      <top style="dashed">
        <color indexed="64"/>
      </top>
      <bottom/>
      <diagonal/>
    </border>
    <border>
      <left style="thin">
        <color indexed="64"/>
      </left>
      <right style="double">
        <color indexed="64"/>
      </right>
      <top/>
      <bottom/>
      <diagonal/>
    </border>
    <border>
      <left style="thin">
        <color indexed="64"/>
      </left>
      <right style="double">
        <color indexed="64"/>
      </right>
      <top/>
      <bottom style="dashed">
        <color indexed="64"/>
      </bottom>
      <diagonal/>
    </border>
    <border>
      <left style="double">
        <color indexed="64"/>
      </left>
      <right style="thin">
        <color indexed="64"/>
      </right>
      <top/>
      <bottom style="dashed">
        <color indexed="64"/>
      </bottom>
      <diagonal/>
    </border>
    <border>
      <left style="thin">
        <color indexed="64"/>
      </left>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ashed">
        <color indexed="64"/>
      </bottom>
      <diagonal/>
    </border>
    <border>
      <left style="double">
        <color indexed="64"/>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thin">
        <color indexed="64"/>
      </right>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top style="hair">
        <color indexed="64"/>
      </top>
      <bottom/>
      <diagonal/>
    </border>
    <border>
      <left style="hair">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8"/>
      </left>
      <right style="thin">
        <color indexed="64"/>
      </right>
      <top/>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thin">
        <color indexed="64"/>
      </left>
      <right/>
      <top style="double">
        <color indexed="64"/>
      </top>
      <bottom/>
      <diagonal/>
    </border>
    <border>
      <left style="thin">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top style="double">
        <color indexed="64"/>
      </top>
      <bottom/>
      <diagonal/>
    </border>
    <border>
      <left style="thin">
        <color indexed="64"/>
      </left>
      <right/>
      <top/>
      <bottom style="double">
        <color indexed="64"/>
      </bottom>
      <diagonal/>
    </border>
    <border>
      <left style="thin">
        <color indexed="64"/>
      </left>
      <right style="hair">
        <color indexed="64"/>
      </right>
      <top/>
      <bottom style="double">
        <color indexed="64"/>
      </bottom>
      <diagonal/>
    </border>
    <border>
      <left/>
      <right style="hair">
        <color indexed="64"/>
      </right>
      <top/>
      <bottom style="double">
        <color indexed="64"/>
      </bottom>
      <diagonal/>
    </border>
    <border>
      <left/>
      <right style="thin">
        <color indexed="64"/>
      </right>
      <top/>
      <bottom style="double">
        <color indexed="64"/>
      </bottom>
      <diagonal/>
    </border>
    <border>
      <left/>
      <right/>
      <top style="double">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right/>
      <top/>
      <bottom style="double">
        <color indexed="64"/>
      </bottom>
      <diagonal/>
    </border>
    <border>
      <left/>
      <right/>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8"/>
      </left>
      <right style="hair">
        <color indexed="8"/>
      </right>
      <top/>
      <bottom/>
      <diagonal/>
    </border>
    <border>
      <left style="hair">
        <color indexed="8"/>
      </left>
      <right style="hair">
        <color indexed="64"/>
      </right>
      <top/>
      <bottom/>
      <diagonal/>
    </border>
    <border>
      <left style="thin">
        <color indexed="64"/>
      </left>
      <right style="hair">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hair">
        <color indexed="64"/>
      </top>
      <bottom/>
      <diagonal/>
    </border>
    <border>
      <left style="thin">
        <color indexed="8"/>
      </left>
      <right style="hair">
        <color indexed="8"/>
      </right>
      <top/>
      <bottom/>
      <diagonal/>
    </border>
    <border>
      <left style="hair">
        <color indexed="8"/>
      </left>
      <right style="thin">
        <color indexed="8"/>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double">
        <color indexed="64"/>
      </top>
      <bottom/>
      <diagonal/>
    </border>
    <border>
      <left style="hair">
        <color indexed="64"/>
      </left>
      <right style="hair">
        <color indexed="64"/>
      </right>
      <top style="thin">
        <color indexed="64"/>
      </top>
      <bottom style="hair">
        <color indexed="64"/>
      </bottom>
      <diagonal/>
    </border>
    <border>
      <left style="hair">
        <color indexed="8"/>
      </left>
      <right/>
      <top/>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8"/>
      </right>
      <top/>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hair">
        <color indexed="64"/>
      </right>
      <top style="hair">
        <color indexed="64"/>
      </top>
      <bottom style="thin">
        <color indexed="64"/>
      </bottom>
      <diagonal/>
    </border>
    <border>
      <left style="double">
        <color indexed="64"/>
      </left>
      <right style="hair">
        <color indexed="64"/>
      </right>
      <top style="double">
        <color indexed="64"/>
      </top>
      <bottom/>
      <diagonal/>
    </border>
    <border>
      <left style="double">
        <color indexed="64"/>
      </left>
      <right style="hair">
        <color indexed="64"/>
      </right>
      <top/>
      <bottom style="double">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bottom style="thick">
        <color theme="4" tint="0.49983214819788202"/>
      </bottom>
      <diagonal/>
    </border>
    <border>
      <left/>
      <right/>
      <top/>
      <bottom style="thick">
        <color theme="4" tint="0.49977111117893003"/>
      </bottom>
      <diagonal/>
    </border>
    <border>
      <left/>
      <right/>
      <top/>
      <bottom style="thick">
        <color theme="4" tint="0.49971007415997803"/>
      </bottom>
      <diagonal/>
    </border>
    <border>
      <left/>
      <right/>
      <top/>
      <bottom style="thick">
        <color theme="4" tint="0.49992370372631001"/>
      </bottom>
      <diagonal/>
    </border>
    <border>
      <left/>
      <right/>
      <top/>
      <bottom style="thick">
        <color theme="4" tint="0.49986266670735802"/>
      </bottom>
      <diagonal/>
    </border>
    <border>
      <left style="hair">
        <color indexed="8"/>
      </left>
      <right style="thin">
        <color auto="1"/>
      </right>
      <top/>
      <bottom/>
      <diagonal/>
    </border>
  </borders>
  <cellStyleXfs count="15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3" fillId="0" borderId="0"/>
    <xf numFmtId="0" fontId="1" fillId="0" borderId="0"/>
    <xf numFmtId="38" fontId="1" fillId="0" borderId="0" applyFont="0" applyFill="0" applyBorder="0" applyAlignment="0" applyProtection="0">
      <alignment vertical="center"/>
    </xf>
    <xf numFmtId="0" fontId="37" fillId="2" borderId="0" applyNumberFormat="0" applyBorder="0" applyAlignment="0" applyProtection="0">
      <alignment vertical="center"/>
    </xf>
    <xf numFmtId="0" fontId="47" fillId="15" borderId="0" applyNumberFormat="0" applyBorder="0" applyAlignment="0" applyProtection="0">
      <alignment vertical="center"/>
    </xf>
    <xf numFmtId="0" fontId="48" fillId="44" borderId="0" applyNumberFormat="0" applyBorder="0" applyAlignment="0" applyProtection="0">
      <alignment vertical="center"/>
    </xf>
    <xf numFmtId="0" fontId="37" fillId="38" borderId="0" applyNumberFormat="0" applyBorder="0" applyAlignment="0" applyProtection="0">
      <alignment vertical="center"/>
    </xf>
    <xf numFmtId="0" fontId="47" fillId="19" borderId="0" applyNumberFormat="0" applyBorder="0" applyAlignment="0" applyProtection="0">
      <alignment vertical="center"/>
    </xf>
    <xf numFmtId="0" fontId="48" fillId="45" borderId="0" applyNumberFormat="0" applyBorder="0" applyAlignment="0" applyProtection="0">
      <alignment vertical="center"/>
    </xf>
    <xf numFmtId="0" fontId="37" fillId="39" borderId="0" applyNumberFormat="0" applyBorder="0" applyAlignment="0" applyProtection="0">
      <alignment vertical="center"/>
    </xf>
    <xf numFmtId="0" fontId="47" fillId="23" borderId="0" applyNumberFormat="0" applyBorder="0" applyAlignment="0" applyProtection="0">
      <alignment vertical="center"/>
    </xf>
    <xf numFmtId="0" fontId="48" fillId="46" borderId="0" applyNumberFormat="0" applyBorder="0" applyAlignment="0" applyProtection="0">
      <alignment vertical="center"/>
    </xf>
    <xf numFmtId="0" fontId="37" fillId="2" borderId="0" applyNumberFormat="0" applyBorder="0" applyAlignment="0" applyProtection="0">
      <alignment vertical="center"/>
    </xf>
    <xf numFmtId="0" fontId="47" fillId="27" borderId="0" applyNumberFormat="0" applyBorder="0" applyAlignment="0" applyProtection="0">
      <alignment vertical="center"/>
    </xf>
    <xf numFmtId="0" fontId="48" fillId="47" borderId="0" applyNumberFormat="0" applyBorder="0" applyAlignment="0" applyProtection="0">
      <alignment vertical="center"/>
    </xf>
    <xf numFmtId="0" fontId="37" fillId="48" borderId="0" applyNumberFormat="0" applyBorder="0" applyAlignment="0" applyProtection="0">
      <alignment vertical="center"/>
    </xf>
    <xf numFmtId="0" fontId="37" fillId="49" borderId="0" applyNumberFormat="0" applyBorder="0" applyAlignment="0" applyProtection="0">
      <alignment vertical="center"/>
    </xf>
    <xf numFmtId="0" fontId="37" fillId="48" borderId="0" applyNumberFormat="0" applyBorder="0" applyAlignment="0" applyProtection="0">
      <alignment vertical="center"/>
    </xf>
    <xf numFmtId="0" fontId="47" fillId="31" borderId="0" applyNumberFormat="0" applyBorder="0" applyAlignment="0" applyProtection="0">
      <alignment vertical="center"/>
    </xf>
    <xf numFmtId="0" fontId="48" fillId="49" borderId="0" applyNumberFormat="0" applyBorder="0" applyAlignment="0" applyProtection="0">
      <alignment vertical="center"/>
    </xf>
    <xf numFmtId="0" fontId="37" fillId="50" borderId="0" applyNumberFormat="0" applyBorder="0" applyAlignment="0" applyProtection="0">
      <alignment vertical="center"/>
    </xf>
    <xf numFmtId="0" fontId="37" fillId="51" borderId="0" applyNumberFormat="0" applyBorder="0" applyAlignment="0" applyProtection="0">
      <alignment vertical="center"/>
    </xf>
    <xf numFmtId="0" fontId="37" fillId="50" borderId="0" applyNumberFormat="0" applyBorder="0" applyAlignment="0" applyProtection="0">
      <alignment vertical="center"/>
    </xf>
    <xf numFmtId="0" fontId="47" fillId="35" borderId="0" applyNumberFormat="0" applyBorder="0" applyAlignment="0" applyProtection="0">
      <alignment vertical="center"/>
    </xf>
    <xf numFmtId="0" fontId="48" fillId="51" borderId="0" applyNumberFormat="0" applyBorder="0" applyAlignment="0" applyProtection="0">
      <alignment vertical="center"/>
    </xf>
    <xf numFmtId="0" fontId="37" fillId="3" borderId="0" applyNumberFormat="0" applyBorder="0" applyAlignment="0" applyProtection="0">
      <alignment vertical="center"/>
    </xf>
    <xf numFmtId="0" fontId="47" fillId="16" borderId="0" applyNumberFormat="0" applyBorder="0" applyAlignment="0" applyProtection="0">
      <alignment vertical="center"/>
    </xf>
    <xf numFmtId="0" fontId="48" fillId="52" borderId="0" applyNumberFormat="0" applyBorder="0" applyAlignment="0" applyProtection="0">
      <alignment vertical="center"/>
    </xf>
    <xf numFmtId="0" fontId="37" fillId="53" borderId="0" applyNumberFormat="0" applyBorder="0" applyAlignment="0" applyProtection="0">
      <alignment vertical="center"/>
    </xf>
    <xf numFmtId="0" fontId="37" fillId="54" borderId="0" applyNumberFormat="0" applyBorder="0" applyAlignment="0" applyProtection="0">
      <alignment vertical="center"/>
    </xf>
    <xf numFmtId="0" fontId="37" fillId="55" borderId="0" applyNumberFormat="0" applyBorder="0" applyAlignment="0" applyProtection="0">
      <alignment vertical="center"/>
    </xf>
    <xf numFmtId="0" fontId="37" fillId="56" borderId="0" applyNumberFormat="0" applyBorder="0" applyAlignment="0" applyProtection="0">
      <alignment vertical="center"/>
    </xf>
    <xf numFmtId="0" fontId="37" fillId="57" borderId="0" applyNumberFormat="0" applyBorder="0" applyAlignment="0" applyProtection="0">
      <alignment vertical="center"/>
    </xf>
    <xf numFmtId="0" fontId="47" fillId="20" borderId="0" applyNumberFormat="0" applyBorder="0" applyAlignment="0" applyProtection="0">
      <alignment vertical="center"/>
    </xf>
    <xf numFmtId="0" fontId="48" fillId="56" borderId="0" applyNumberFormat="0" applyBorder="0" applyAlignment="0" applyProtection="0">
      <alignment vertical="center"/>
    </xf>
    <xf numFmtId="0" fontId="37" fillId="40" borderId="0" applyNumberFormat="0" applyBorder="0" applyAlignment="0" applyProtection="0">
      <alignment vertical="center"/>
    </xf>
    <xf numFmtId="0" fontId="47" fillId="24" borderId="0" applyNumberFormat="0" applyBorder="0" applyAlignment="0" applyProtection="0">
      <alignment vertical="center"/>
    </xf>
    <xf numFmtId="0" fontId="48" fillId="58" borderId="0" applyNumberFormat="0" applyBorder="0" applyAlignment="0" applyProtection="0">
      <alignment vertical="center"/>
    </xf>
    <xf numFmtId="0" fontId="37" fillId="3" borderId="0" applyNumberFormat="0" applyBorder="0" applyAlignment="0" applyProtection="0">
      <alignment vertical="center"/>
    </xf>
    <xf numFmtId="0" fontId="47" fillId="28" borderId="0" applyNumberFormat="0" applyBorder="0" applyAlignment="0" applyProtection="0">
      <alignment vertical="center"/>
    </xf>
    <xf numFmtId="0" fontId="48" fillId="59" borderId="0" applyNumberFormat="0" applyBorder="0" applyAlignment="0" applyProtection="0">
      <alignment vertical="center"/>
    </xf>
    <xf numFmtId="0" fontId="37" fillId="60" borderId="0" applyNumberFormat="0" applyBorder="0" applyAlignment="0" applyProtection="0">
      <alignment vertical="center"/>
    </xf>
    <xf numFmtId="0" fontId="37" fillId="61" borderId="0" applyNumberFormat="0" applyBorder="0" applyAlignment="0" applyProtection="0">
      <alignment vertical="center"/>
    </xf>
    <xf numFmtId="0" fontId="37" fillId="62" borderId="0" applyNumberFormat="0" applyBorder="0" applyAlignment="0" applyProtection="0">
      <alignment vertical="center"/>
    </xf>
    <xf numFmtId="0" fontId="37" fillId="63" borderId="0" applyNumberFormat="0" applyBorder="0" applyAlignment="0" applyProtection="0">
      <alignment vertical="center"/>
    </xf>
    <xf numFmtId="0" fontId="37" fillId="64" borderId="0" applyNumberFormat="0" applyBorder="0" applyAlignment="0" applyProtection="0">
      <alignment vertical="center"/>
    </xf>
    <xf numFmtId="0" fontId="47" fillId="32" borderId="0" applyNumberFormat="0" applyBorder="0" applyAlignment="0" applyProtection="0">
      <alignment vertical="center"/>
    </xf>
    <xf numFmtId="0" fontId="48" fillId="63" borderId="0" applyNumberFormat="0" applyBorder="0" applyAlignment="0" applyProtection="0">
      <alignment vertical="center"/>
    </xf>
    <xf numFmtId="0" fontId="37" fillId="38" borderId="0" applyNumberFormat="0" applyBorder="0" applyAlignment="0" applyProtection="0">
      <alignment vertical="center"/>
    </xf>
    <xf numFmtId="0" fontId="47" fillId="36" borderId="0" applyNumberFormat="0" applyBorder="0" applyAlignment="0" applyProtection="0">
      <alignment vertical="center"/>
    </xf>
    <xf numFmtId="0" fontId="48" fillId="65" borderId="0" applyNumberFormat="0" applyBorder="0" applyAlignment="0" applyProtection="0">
      <alignment vertical="center"/>
    </xf>
    <xf numFmtId="0" fontId="38" fillId="41" borderId="0" applyNumberFormat="0" applyBorder="0" applyAlignment="0" applyProtection="0">
      <alignment vertical="center"/>
    </xf>
    <xf numFmtId="0" fontId="47" fillId="17" borderId="0" applyNumberFormat="0" applyBorder="0" applyAlignment="0" applyProtection="0">
      <alignment vertical="center"/>
    </xf>
    <xf numFmtId="0" fontId="48" fillId="66" borderId="0" applyNumberFormat="0" applyBorder="0" applyAlignment="0" applyProtection="0">
      <alignment vertical="center"/>
    </xf>
    <xf numFmtId="0" fontId="38" fillId="67" borderId="0" applyNumberFormat="0" applyBorder="0" applyAlignment="0" applyProtection="0">
      <alignment vertical="center"/>
    </xf>
    <xf numFmtId="0" fontId="47" fillId="21" borderId="0" applyNumberFormat="0" applyBorder="0" applyAlignment="0" applyProtection="0">
      <alignment vertical="center"/>
    </xf>
    <xf numFmtId="0" fontId="48" fillId="67" borderId="0" applyNumberFormat="0" applyBorder="0" applyAlignment="0" applyProtection="0">
      <alignment vertical="center"/>
    </xf>
    <xf numFmtId="0" fontId="38" fillId="40" borderId="0" applyNumberFormat="0" applyBorder="0" applyAlignment="0" applyProtection="0">
      <alignment vertical="center"/>
    </xf>
    <xf numFmtId="0" fontId="47" fillId="25" borderId="0" applyNumberFormat="0" applyBorder="0" applyAlignment="0" applyProtection="0">
      <alignment vertical="center"/>
    </xf>
    <xf numFmtId="0" fontId="48" fillId="68" borderId="0" applyNumberFormat="0" applyBorder="0" applyAlignment="0" applyProtection="0">
      <alignment vertical="center"/>
    </xf>
    <xf numFmtId="0" fontId="38" fillId="3" borderId="0" applyNumberFormat="0" applyBorder="0" applyAlignment="0" applyProtection="0">
      <alignment vertical="center"/>
    </xf>
    <xf numFmtId="0" fontId="47" fillId="29" borderId="0" applyNumberFormat="0" applyBorder="0" applyAlignment="0" applyProtection="0">
      <alignment vertical="center"/>
    </xf>
    <xf numFmtId="0" fontId="48" fillId="69" borderId="0" applyNumberFormat="0" applyBorder="0" applyAlignment="0" applyProtection="0">
      <alignment vertical="center"/>
    </xf>
    <xf numFmtId="0" fontId="38" fillId="70" borderId="0" applyNumberFormat="0" applyBorder="0" applyAlignment="0" applyProtection="0">
      <alignment vertical="center"/>
    </xf>
    <xf numFmtId="0" fontId="47" fillId="33" borderId="0" applyNumberFormat="0" applyBorder="0" applyAlignment="0" applyProtection="0">
      <alignment vertical="center"/>
    </xf>
    <xf numFmtId="0" fontId="48" fillId="70" borderId="0" applyNumberFormat="0" applyBorder="0" applyAlignment="0" applyProtection="0">
      <alignment vertical="center"/>
    </xf>
    <xf numFmtId="0" fontId="38" fillId="38" borderId="0" applyNumberFormat="0" applyBorder="0" applyAlignment="0" applyProtection="0">
      <alignment vertical="center"/>
    </xf>
    <xf numFmtId="0" fontId="47" fillId="37" borderId="0" applyNumberFormat="0" applyBorder="0" applyAlignment="0" applyProtection="0">
      <alignment vertical="center"/>
    </xf>
    <xf numFmtId="0" fontId="48" fillId="71" borderId="0" applyNumberFormat="0" applyBorder="0" applyAlignment="0" applyProtection="0">
      <alignment vertical="center"/>
    </xf>
    <xf numFmtId="0" fontId="38" fillId="41" borderId="0" applyNumberFormat="0" applyBorder="0" applyAlignment="0" applyProtection="0">
      <alignment vertical="center"/>
    </xf>
    <xf numFmtId="0" fontId="49" fillId="14" borderId="0" applyNumberFormat="0" applyBorder="0" applyAlignment="0" applyProtection="0">
      <alignment vertical="center"/>
    </xf>
    <xf numFmtId="0" fontId="50" fillId="72" borderId="0" applyNumberFormat="0" applyBorder="0" applyAlignment="0" applyProtection="0">
      <alignment vertical="center"/>
    </xf>
    <xf numFmtId="0" fontId="38" fillId="42" borderId="0" applyNumberFormat="0" applyBorder="0" applyAlignment="0" applyProtection="0">
      <alignment vertical="center"/>
    </xf>
    <xf numFmtId="0" fontId="49" fillId="18" borderId="0" applyNumberFormat="0" applyBorder="0" applyAlignment="0" applyProtection="0">
      <alignment vertical="center"/>
    </xf>
    <xf numFmtId="0" fontId="50" fillId="73" borderId="0" applyNumberFormat="0" applyBorder="0" applyAlignment="0" applyProtection="0">
      <alignment vertical="center"/>
    </xf>
    <xf numFmtId="0" fontId="38" fillId="42" borderId="0" applyNumberFormat="0" applyBorder="0" applyAlignment="0" applyProtection="0">
      <alignment vertical="center"/>
    </xf>
    <xf numFmtId="0" fontId="49" fillId="22" borderId="0" applyNumberFormat="0" applyBorder="0" applyAlignment="0" applyProtection="0">
      <alignment vertical="center"/>
    </xf>
    <xf numFmtId="0" fontId="50" fillId="74" borderId="0" applyNumberFormat="0" applyBorder="0" applyAlignment="0" applyProtection="0">
      <alignment vertical="center"/>
    </xf>
    <xf numFmtId="0" fontId="38" fillId="43" borderId="0" applyNumberFormat="0" applyBorder="0" applyAlignment="0" applyProtection="0">
      <alignment vertical="center"/>
    </xf>
    <xf numFmtId="0" fontId="49" fillId="26" borderId="0" applyNumberFormat="0" applyBorder="0" applyAlignment="0" applyProtection="0">
      <alignment vertical="center"/>
    </xf>
    <xf numFmtId="0" fontId="50" fillId="75" borderId="0" applyNumberFormat="0" applyBorder="0" applyAlignment="0" applyProtection="0">
      <alignment vertical="center"/>
    </xf>
    <xf numFmtId="0" fontId="38" fillId="76" borderId="0" applyNumberFormat="0" applyBorder="0" applyAlignment="0" applyProtection="0">
      <alignment vertical="center"/>
    </xf>
    <xf numFmtId="0" fontId="49" fillId="30" borderId="0" applyNumberFormat="0" applyBorder="0" applyAlignment="0" applyProtection="0">
      <alignment vertical="center"/>
    </xf>
    <xf numFmtId="0" fontId="50" fillId="76" borderId="0" applyNumberFormat="0" applyBorder="0" applyAlignment="0" applyProtection="0">
      <alignment vertical="center"/>
    </xf>
    <xf numFmtId="0" fontId="38" fillId="77" borderId="0" applyNumberFormat="0" applyBorder="0" applyAlignment="0" applyProtection="0">
      <alignment vertical="center"/>
    </xf>
    <xf numFmtId="0" fontId="49" fillId="34" borderId="0" applyNumberFormat="0" applyBorder="0" applyAlignment="0" applyProtection="0">
      <alignment vertical="center"/>
    </xf>
    <xf numFmtId="0" fontId="50" fillId="77"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0" fillId="78" borderId="147" applyNumberFormat="0" applyAlignment="0" applyProtection="0">
      <alignment vertical="center"/>
    </xf>
    <xf numFmtId="0" fontId="53" fillId="12" borderId="147" applyNumberFormat="0" applyAlignment="0" applyProtection="0">
      <alignment vertical="center"/>
    </xf>
    <xf numFmtId="0" fontId="54" fillId="78" borderId="147" applyNumberFormat="0" applyAlignment="0" applyProtection="0">
      <alignment vertical="center"/>
    </xf>
    <xf numFmtId="0" fontId="55" fillId="79" borderId="0" applyNumberFormat="0" applyBorder="0" applyAlignment="0" applyProtection="0">
      <alignment vertical="center"/>
    </xf>
    <xf numFmtId="0" fontId="56" fillId="9" borderId="0" applyNumberFormat="0" applyBorder="0" applyAlignment="0" applyProtection="0">
      <alignment vertical="center"/>
    </xf>
    <xf numFmtId="0" fontId="56" fillId="79" borderId="0" applyNumberFormat="0" applyBorder="0" applyAlignment="0" applyProtection="0">
      <alignment vertical="center"/>
    </xf>
    <xf numFmtId="0" fontId="1" fillId="39" borderId="148" applyNumberFormat="0" applyFont="0" applyAlignment="0" applyProtection="0">
      <alignment vertical="center"/>
    </xf>
    <xf numFmtId="0" fontId="47" fillId="13" borderId="148" applyNumberFormat="0" applyFont="0" applyAlignment="0" applyProtection="0">
      <alignment vertical="center"/>
    </xf>
    <xf numFmtId="0" fontId="48" fillId="39" borderId="148" applyNumberFormat="0" applyAlignment="0" applyProtection="0">
      <alignment vertical="center"/>
    </xf>
    <xf numFmtId="0" fontId="57" fillId="0" borderId="146" applyNumberFormat="0" applyFill="0" applyAlignment="0" applyProtection="0">
      <alignment vertical="center"/>
    </xf>
    <xf numFmtId="0" fontId="58" fillId="0" borderId="146" applyNumberFormat="0" applyFill="0" applyAlignment="0" applyProtection="0">
      <alignment vertical="center"/>
    </xf>
    <xf numFmtId="0" fontId="41" fillId="80" borderId="0" applyNumberFormat="0" applyBorder="0" applyAlignment="0" applyProtection="0">
      <alignment vertical="center"/>
    </xf>
    <xf numFmtId="0" fontId="59" fillId="8" borderId="0" applyNumberFormat="0" applyBorder="0" applyAlignment="0" applyProtection="0">
      <alignment vertical="center"/>
    </xf>
    <xf numFmtId="0" fontId="59" fillId="80" borderId="0" applyNumberFormat="0" applyBorder="0" applyAlignment="0" applyProtection="0">
      <alignment vertical="center"/>
    </xf>
    <xf numFmtId="0" fontId="60" fillId="2" borderId="144" applyNumberFormat="0" applyAlignment="0" applyProtection="0">
      <alignment vertical="center"/>
    </xf>
    <xf numFmtId="0" fontId="61" fillId="11" borderId="144" applyNumberFormat="0" applyAlignment="0" applyProtection="0">
      <alignment vertical="center"/>
    </xf>
    <xf numFmtId="0" fontId="61" fillId="81" borderId="144" applyNumberFormat="0" applyAlignment="0" applyProtection="0">
      <alignment vertical="center"/>
    </xf>
    <xf numFmtId="0" fontId="46"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2" fillId="0" borderId="150" applyNumberFormat="0" applyFill="0" applyAlignment="0" applyProtection="0">
      <alignment vertical="center"/>
    </xf>
    <xf numFmtId="0" fontId="64" fillId="0" borderId="141" applyNumberFormat="0" applyFill="0" applyAlignment="0" applyProtection="0">
      <alignment vertical="center"/>
    </xf>
    <xf numFmtId="0" fontId="43" fillId="0" borderId="153" applyNumberFormat="0" applyFill="0" applyAlignment="0" applyProtection="0">
      <alignment vertical="center"/>
    </xf>
    <xf numFmtId="0" fontId="43" fillId="0" borderId="154" applyNumberFormat="0" applyFill="0" applyAlignment="0" applyProtection="0">
      <alignment vertical="center"/>
    </xf>
    <xf numFmtId="0" fontId="43" fillId="0" borderId="155" applyNumberFormat="0" applyFill="0" applyAlignment="0" applyProtection="0">
      <alignment vertical="center"/>
    </xf>
    <xf numFmtId="0" fontId="43" fillId="0" borderId="156" applyNumberFormat="0" applyFill="0" applyAlignment="0" applyProtection="0">
      <alignment vertical="center"/>
    </xf>
    <xf numFmtId="0" fontId="43" fillId="0" borderId="157" applyNumberFormat="0" applyFill="0" applyAlignment="0" applyProtection="0">
      <alignment vertical="center"/>
    </xf>
    <xf numFmtId="0" fontId="65" fillId="0" borderId="142" applyNumberFormat="0" applyFill="0" applyAlignment="0" applyProtection="0">
      <alignment vertical="center"/>
    </xf>
    <xf numFmtId="0" fontId="65" fillId="0" borderId="156" applyNumberFormat="0" applyFill="0" applyAlignment="0" applyProtection="0">
      <alignment vertical="center"/>
    </xf>
    <xf numFmtId="0" fontId="44" fillId="0" borderId="151" applyNumberFormat="0" applyFill="0" applyAlignment="0" applyProtection="0">
      <alignment vertical="center"/>
    </xf>
    <xf numFmtId="0" fontId="66" fillId="0" borderId="143" applyNumberFormat="0" applyFill="0" applyAlignment="0" applyProtection="0">
      <alignment vertical="center"/>
    </xf>
    <xf numFmtId="0" fontId="44"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5" fillId="0" borderId="152" applyNumberFormat="0" applyFill="0" applyAlignment="0" applyProtection="0">
      <alignment vertical="center"/>
    </xf>
    <xf numFmtId="0" fontId="67" fillId="0" borderId="149" applyNumberFormat="0" applyFill="0" applyAlignment="0" applyProtection="0">
      <alignment vertical="center"/>
    </xf>
    <xf numFmtId="0" fontId="68" fillId="0" borderId="149" applyNumberFormat="0" applyFill="0" applyAlignment="0" applyProtection="0">
      <alignment vertical="center"/>
    </xf>
    <xf numFmtId="0" fontId="69" fillId="2" borderId="145" applyNumberFormat="0" applyAlignment="0" applyProtection="0">
      <alignment vertical="center"/>
    </xf>
    <xf numFmtId="0" fontId="70" fillId="11" borderId="145" applyNumberFormat="0" applyAlignment="0" applyProtection="0">
      <alignment vertical="center"/>
    </xf>
    <xf numFmtId="0" fontId="70" fillId="81" borderId="145" applyNumberFormat="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38" borderId="144" applyNumberFormat="0" applyAlignment="0" applyProtection="0">
      <alignment vertical="center"/>
    </xf>
    <xf numFmtId="0" fontId="74" fillId="10" borderId="144" applyNumberFormat="0" applyAlignment="0" applyProtection="0">
      <alignment vertical="center"/>
    </xf>
    <xf numFmtId="0" fontId="74" fillId="38" borderId="144" applyNumberFormat="0" applyAlignment="0" applyProtection="0">
      <alignment vertical="center"/>
    </xf>
    <xf numFmtId="0" fontId="37" fillId="0" borderId="0"/>
    <xf numFmtId="0" fontId="37" fillId="0" borderId="0"/>
    <xf numFmtId="0" fontId="47" fillId="0" borderId="0"/>
    <xf numFmtId="0" fontId="48" fillId="0" borderId="0"/>
    <xf numFmtId="0" fontId="47" fillId="0" borderId="0">
      <alignment vertical="center"/>
    </xf>
    <xf numFmtId="0" fontId="48" fillId="0" borderId="0">
      <alignment vertical="center"/>
    </xf>
    <xf numFmtId="0" fontId="75" fillId="82" borderId="0" applyNumberFormat="0" applyBorder="0" applyAlignment="0" applyProtection="0">
      <alignment vertical="center"/>
    </xf>
    <xf numFmtId="0" fontId="76" fillId="7" borderId="0" applyNumberFormat="0" applyBorder="0" applyAlignment="0" applyProtection="0">
      <alignment vertical="center"/>
    </xf>
    <xf numFmtId="0" fontId="76" fillId="82" borderId="0" applyNumberFormat="0" applyBorder="0" applyAlignment="0" applyProtection="0">
      <alignment vertical="center"/>
    </xf>
  </cellStyleXfs>
  <cellXfs count="1802">
    <xf numFmtId="0" fontId="0" fillId="0" borderId="0" xfId="0">
      <alignment vertical="center"/>
    </xf>
    <xf numFmtId="0" fontId="0" fillId="2" borderId="0" xfId="0" applyFill="1">
      <alignment vertical="center"/>
    </xf>
    <xf numFmtId="0" fontId="3" fillId="2" borderId="0" xfId="0" applyFont="1" applyFill="1" applyAlignment="1">
      <alignment horizontal="center" vertical="center"/>
    </xf>
    <xf numFmtId="0" fontId="1" fillId="0" borderId="0" xfId="0" applyFont="1">
      <alignment vertical="center"/>
    </xf>
    <xf numFmtId="0" fontId="4"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center" vertical="center"/>
    </xf>
    <xf numFmtId="55" fontId="5" fillId="2" borderId="0" xfId="0" applyNumberFormat="1" applyFont="1" applyFill="1" applyAlignment="1">
      <alignment horizontal="center"/>
    </xf>
    <xf numFmtId="55" fontId="6" fillId="2" borderId="0" xfId="0" applyNumberFormat="1" applyFont="1" applyFill="1" applyAlignment="1">
      <alignment horizontal="center" vertical="center"/>
    </xf>
    <xf numFmtId="55" fontId="7" fillId="2" borderId="0" xfId="0" applyNumberFormat="1" applyFont="1" applyFill="1" applyAlignment="1">
      <alignment horizontal="center" vertical="center"/>
    </xf>
    <xf numFmtId="0" fontId="8" fillId="2" borderId="0" xfId="0" applyFont="1" applyFill="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5" xfId="0" applyBorder="1">
      <alignment vertical="center"/>
    </xf>
    <xf numFmtId="0" fontId="0" fillId="0" borderId="8" xfId="0" applyBorder="1">
      <alignment vertical="center"/>
    </xf>
    <xf numFmtId="0" fontId="0" fillId="0" borderId="8" xfId="0" applyBorder="1" applyAlignment="1">
      <alignment vertical="center" wrapText="1"/>
    </xf>
    <xf numFmtId="0" fontId="0" fillId="0" borderId="10" xfId="0" applyBorder="1">
      <alignment vertical="center"/>
    </xf>
    <xf numFmtId="0" fontId="0" fillId="0" borderId="11" xfId="0" applyBorder="1" applyAlignment="1">
      <alignment vertical="center" wrapText="1"/>
    </xf>
    <xf numFmtId="0" fontId="0" fillId="0" borderId="13" xfId="0" applyBorder="1">
      <alignment vertical="center"/>
    </xf>
    <xf numFmtId="0" fontId="0" fillId="0" borderId="1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2" borderId="15" xfId="0" applyFill="1" applyBorder="1" applyAlignment="1">
      <alignment vertical="center" wrapText="1"/>
    </xf>
    <xf numFmtId="0" fontId="0" fillId="2" borderId="16" xfId="0" applyFill="1" applyBorder="1" applyAlignment="1">
      <alignment vertical="center" wrapText="1"/>
    </xf>
    <xf numFmtId="0" fontId="0" fillId="4" borderId="11" xfId="0" applyFill="1" applyBorder="1" applyAlignment="1">
      <alignment vertical="center" wrapText="1"/>
    </xf>
    <xf numFmtId="0" fontId="0" fillId="2" borderId="17" xfId="0" applyFill="1" applyBorder="1" applyAlignment="1">
      <alignment horizontal="left" vertical="center" wrapText="1"/>
    </xf>
    <xf numFmtId="0" fontId="0" fillId="4" borderId="9" xfId="0" applyFill="1" applyBorder="1" applyAlignment="1">
      <alignment vertical="center" wrapText="1"/>
    </xf>
    <xf numFmtId="0" fontId="0" fillId="2" borderId="21" xfId="0" applyFill="1" applyBorder="1" applyAlignment="1">
      <alignment horizontal="left" vertical="center" wrapText="1"/>
    </xf>
    <xf numFmtId="0" fontId="0" fillId="2" borderId="22" xfId="0" applyFill="1" applyBorder="1" applyAlignment="1">
      <alignment vertical="center" wrapText="1"/>
    </xf>
    <xf numFmtId="0" fontId="0" fillId="0" borderId="26" xfId="0" applyBorder="1">
      <alignment vertical="center"/>
    </xf>
    <xf numFmtId="0" fontId="0" fillId="0" borderId="27" xfId="0" applyBorder="1" applyAlignment="1">
      <alignment vertical="center" wrapText="1"/>
    </xf>
    <xf numFmtId="0" fontId="0" fillId="0" borderId="11" xfId="0" applyBorder="1">
      <alignment vertical="center"/>
    </xf>
    <xf numFmtId="0" fontId="0" fillId="4" borderId="11" xfId="0" applyFill="1" applyBorder="1">
      <alignment vertical="center"/>
    </xf>
    <xf numFmtId="0" fontId="0" fillId="0" borderId="28" xfId="0" applyBorder="1">
      <alignment vertical="center"/>
    </xf>
    <xf numFmtId="0" fontId="0" fillId="0" borderId="21" xfId="0" applyBorder="1">
      <alignment vertical="center"/>
    </xf>
    <xf numFmtId="0" fontId="0" fillId="0" borderId="22" xfId="0" applyBorder="1" applyAlignment="1">
      <alignment vertical="center" wrapText="1"/>
    </xf>
    <xf numFmtId="0" fontId="0" fillId="2" borderId="29" xfId="0" applyFill="1" applyBorder="1">
      <alignment vertical="center"/>
    </xf>
    <xf numFmtId="0" fontId="0" fillId="0" borderId="0" xfId="0" applyAlignment="1">
      <alignment horizontal="right" vertical="center"/>
    </xf>
    <xf numFmtId="0" fontId="0" fillId="2" borderId="10" xfId="0" applyFill="1" applyBorder="1">
      <alignment vertical="center"/>
    </xf>
    <xf numFmtId="0" fontId="0" fillId="2" borderId="28" xfId="0" applyFill="1" applyBorder="1">
      <alignment vertical="center"/>
    </xf>
    <xf numFmtId="0" fontId="0" fillId="2" borderId="23" xfId="0" applyFill="1" applyBorder="1" applyAlignment="1">
      <alignment vertical="center" wrapText="1"/>
    </xf>
    <xf numFmtId="0" fontId="0" fillId="0" borderId="9" xfId="0" applyBorder="1" applyAlignment="1">
      <alignment vertical="center" wrapText="1"/>
    </xf>
    <xf numFmtId="0" fontId="0" fillId="2" borderId="30" xfId="0" applyFill="1" applyBorder="1">
      <alignment vertical="center"/>
    </xf>
    <xf numFmtId="0" fontId="0" fillId="2" borderId="8" xfId="0" applyFill="1" applyBorder="1">
      <alignment vertical="center"/>
    </xf>
    <xf numFmtId="0" fontId="0" fillId="0" borderId="17" xfId="0" applyBorder="1" applyAlignment="1">
      <alignment horizontal="left" vertical="center"/>
    </xf>
    <xf numFmtId="0" fontId="0" fillId="0" borderId="17" xfId="0" applyBorder="1" applyAlignment="1">
      <alignment horizontal="left" vertical="center" wrapText="1"/>
    </xf>
    <xf numFmtId="0" fontId="0" fillId="0" borderId="16" xfId="0" applyBorder="1" applyAlignment="1">
      <alignment vertical="center" wrapText="1"/>
    </xf>
    <xf numFmtId="0" fontId="0" fillId="2" borderId="29" xfId="0" applyFill="1" applyBorder="1" applyAlignment="1">
      <alignment vertical="center" wrapText="1"/>
    </xf>
    <xf numFmtId="0" fontId="0" fillId="2" borderId="27" xfId="0" applyFill="1" applyBorder="1">
      <alignment vertical="center"/>
    </xf>
    <xf numFmtId="0" fontId="0" fillId="2" borderId="31" xfId="0" applyFill="1" applyBorder="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176" fontId="15" fillId="0" borderId="0" xfId="0" applyNumberFormat="1" applyFont="1">
      <alignment vertical="center"/>
    </xf>
    <xf numFmtId="0" fontId="16" fillId="0" borderId="0" xfId="0" applyFont="1">
      <alignment vertical="center"/>
    </xf>
    <xf numFmtId="0" fontId="14" fillId="0" borderId="0" xfId="0" applyFont="1" applyAlignment="1">
      <alignment horizontal="right" vertical="center"/>
    </xf>
    <xf numFmtId="0" fontId="17" fillId="0" borderId="4" xfId="0" applyFont="1" applyBorder="1" applyAlignment="1">
      <alignment horizontal="right" vertical="center"/>
    </xf>
    <xf numFmtId="0" fontId="17" fillId="0" borderId="32" xfId="0" applyFont="1" applyBorder="1" applyAlignment="1">
      <alignment horizontal="center" vertical="center" wrapText="1"/>
    </xf>
    <xf numFmtId="0" fontId="17" fillId="0" borderId="33" xfId="0" applyFont="1" applyBorder="1">
      <alignment vertical="center"/>
    </xf>
    <xf numFmtId="0" fontId="17" fillId="0" borderId="34" xfId="0" applyFont="1" applyBorder="1">
      <alignment vertical="center"/>
    </xf>
    <xf numFmtId="0" fontId="17" fillId="0" borderId="32" xfId="0" applyFont="1" applyBorder="1" applyAlignment="1">
      <alignment horizontal="distributed" vertical="center"/>
    </xf>
    <xf numFmtId="0" fontId="18" fillId="0" borderId="38" xfId="0" applyFont="1" applyBorder="1" applyAlignment="1">
      <alignment horizontal="center" wrapText="1"/>
    </xf>
    <xf numFmtId="0" fontId="18" fillId="0" borderId="39" xfId="0" applyFont="1" applyBorder="1" applyAlignment="1">
      <alignment horizontal="center" wrapText="1"/>
    </xf>
    <xf numFmtId="0" fontId="17" fillId="0" borderId="0" xfId="0" applyFont="1">
      <alignment vertical="center"/>
    </xf>
    <xf numFmtId="0" fontId="17" fillId="0" borderId="7" xfId="0" applyFont="1" applyBorder="1">
      <alignment vertical="center"/>
    </xf>
    <xf numFmtId="0" fontId="17" fillId="0" borderId="43" xfId="0" applyFont="1" applyBorder="1" applyAlignment="1">
      <alignment horizontal="center" shrinkToFit="1"/>
    </xf>
    <xf numFmtId="0" fontId="17" fillId="0" borderId="43" xfId="0" applyFont="1" applyBorder="1" applyAlignment="1">
      <alignment horizontal="distributed" shrinkToFit="1"/>
    </xf>
    <xf numFmtId="0" fontId="17" fillId="0" borderId="43" xfId="0" applyFont="1" applyBorder="1" applyAlignment="1">
      <alignment shrinkToFit="1"/>
    </xf>
    <xf numFmtId="0" fontId="17" fillId="0" borderId="44" xfId="0" applyFont="1" applyBorder="1" applyAlignment="1">
      <alignment horizontal="center" shrinkToFit="1"/>
    </xf>
    <xf numFmtId="0" fontId="17" fillId="0" borderId="45" xfId="0" applyFont="1" applyBorder="1">
      <alignment vertical="center"/>
    </xf>
    <xf numFmtId="0" fontId="17" fillId="0" borderId="46" xfId="0" applyFont="1" applyBorder="1">
      <alignment vertical="center"/>
    </xf>
    <xf numFmtId="0" fontId="17" fillId="0" borderId="48" xfId="0" applyFont="1" applyBorder="1" applyAlignment="1">
      <alignment horizontal="center" shrinkToFit="1"/>
    </xf>
    <xf numFmtId="0" fontId="17" fillId="0" borderId="49" xfId="0" applyFont="1" applyBorder="1">
      <alignment vertical="center"/>
    </xf>
    <xf numFmtId="0" fontId="17" fillId="0" borderId="50" xfId="0" applyFont="1" applyBorder="1">
      <alignment vertical="center"/>
    </xf>
    <xf numFmtId="0" fontId="17" fillId="0" borderId="51" xfId="0" applyFont="1" applyBorder="1">
      <alignment vertical="center"/>
    </xf>
    <xf numFmtId="0" fontId="17" fillId="0" borderId="52" xfId="0" applyFont="1" applyBorder="1" applyAlignment="1">
      <alignment horizontal="distributed"/>
    </xf>
    <xf numFmtId="0" fontId="18" fillId="0" borderId="53" xfId="0" applyFont="1" applyBorder="1" applyAlignment="1">
      <alignment horizontal="center" vertical="center" wrapText="1"/>
    </xf>
    <xf numFmtId="0" fontId="18" fillId="0" borderId="47" xfId="0" applyFont="1" applyBorder="1" applyAlignment="1">
      <alignment horizontal="center" vertical="center" wrapText="1"/>
    </xf>
    <xf numFmtId="0" fontId="17" fillId="0" borderId="46" xfId="0" applyFont="1" applyBorder="1" applyAlignment="1">
      <alignment horizontal="center" vertical="top" shrinkToFit="1"/>
    </xf>
    <xf numFmtId="0" fontId="17" fillId="0" borderId="58" xfId="0" applyFont="1" applyBorder="1" applyAlignment="1">
      <alignment horizontal="distributed" vertical="top" shrinkToFit="1"/>
    </xf>
    <xf numFmtId="0" fontId="17" fillId="0" borderId="58" xfId="0" applyFont="1" applyBorder="1" applyAlignment="1">
      <alignment horizontal="center" vertical="top" shrinkToFit="1"/>
    </xf>
    <xf numFmtId="0" fontId="15" fillId="0" borderId="59" xfId="0" applyFont="1" applyBorder="1" applyAlignment="1">
      <alignment horizontal="center" vertical="center" shrinkToFit="1"/>
    </xf>
    <xf numFmtId="0" fontId="17" fillId="0" borderId="57" xfId="0" applyFont="1" applyBorder="1" applyAlignment="1">
      <alignment horizontal="center" vertical="top" shrinkToFit="1"/>
    </xf>
    <xf numFmtId="0" fontId="17" fillId="0" borderId="61" xfId="0" applyFont="1" applyBorder="1" applyAlignment="1">
      <alignment horizontal="distributed" vertical="top"/>
    </xf>
    <xf numFmtId="0" fontId="18" fillId="0" borderId="58" xfId="0" applyFont="1" applyBorder="1" applyAlignment="1">
      <alignment horizontal="center" vertical="top" wrapText="1"/>
    </xf>
    <xf numFmtId="0" fontId="18" fillId="0" borderId="60" xfId="0" applyFont="1" applyBorder="1" applyAlignment="1">
      <alignment horizontal="center" vertical="top" wrapText="1"/>
    </xf>
    <xf numFmtId="0" fontId="17" fillId="0" borderId="12" xfId="0" applyFont="1" applyBorder="1">
      <alignment vertical="center"/>
    </xf>
    <xf numFmtId="0" fontId="18" fillId="0" borderId="63" xfId="0" applyFont="1" applyBorder="1" applyAlignment="1">
      <alignment horizontal="right" vertical="center"/>
    </xf>
    <xf numFmtId="0" fontId="18" fillId="0" borderId="64" xfId="0" applyFont="1" applyBorder="1" applyAlignment="1">
      <alignment horizontal="right" vertical="center"/>
    </xf>
    <xf numFmtId="0" fontId="18" fillId="0" borderId="65" xfId="0" applyFont="1" applyBorder="1" applyAlignment="1">
      <alignment horizontal="right" vertical="center"/>
    </xf>
    <xf numFmtId="0" fontId="18" fillId="0" borderId="66" xfId="0" applyFont="1" applyBorder="1" applyAlignment="1">
      <alignment horizontal="right" vertical="center"/>
    </xf>
    <xf numFmtId="0" fontId="18" fillId="0" borderId="67" xfId="0" applyFont="1" applyBorder="1" applyAlignment="1">
      <alignment horizontal="right" vertical="center"/>
    </xf>
    <xf numFmtId="0" fontId="18" fillId="0" borderId="68" xfId="0" applyFont="1" applyBorder="1" applyAlignment="1">
      <alignment horizontal="right" vertical="center"/>
    </xf>
    <xf numFmtId="0" fontId="18" fillId="0" borderId="69" xfId="0" applyFont="1" applyBorder="1" applyAlignment="1">
      <alignment horizontal="right" vertical="center"/>
    </xf>
    <xf numFmtId="0" fontId="18" fillId="0" borderId="70" xfId="0" applyFont="1" applyBorder="1" applyAlignment="1">
      <alignment horizontal="right" vertical="center"/>
    </xf>
    <xf numFmtId="0" fontId="18" fillId="0" borderId="71" xfId="0" applyFont="1" applyBorder="1" applyAlignment="1">
      <alignment horizontal="right" vertical="center"/>
    </xf>
    <xf numFmtId="0" fontId="18" fillId="0" borderId="72" xfId="0" applyFont="1" applyBorder="1" applyAlignment="1">
      <alignment horizontal="right" vertical="center"/>
    </xf>
    <xf numFmtId="0" fontId="17" fillId="3" borderId="8" xfId="0" applyFont="1" applyFill="1" applyBorder="1" applyAlignment="1">
      <alignment horizontal="center" vertical="center"/>
    </xf>
    <xf numFmtId="176" fontId="20" fillId="3" borderId="42" xfId="0" applyNumberFormat="1" applyFont="1" applyFill="1" applyBorder="1" applyAlignment="1" applyProtection="1">
      <alignment horizontal="right" vertical="center"/>
      <protection locked="0"/>
    </xf>
    <xf numFmtId="176" fontId="20" fillId="3" borderId="51" xfId="0" applyNumberFormat="1" applyFont="1" applyFill="1" applyBorder="1" applyAlignment="1" applyProtection="1">
      <alignment horizontal="right" vertical="center"/>
      <protection locked="0"/>
    </xf>
    <xf numFmtId="177" fontId="20" fillId="3" borderId="53" xfId="0" applyNumberFormat="1" applyFont="1" applyFill="1" applyBorder="1" applyAlignment="1" applyProtection="1">
      <alignment horizontal="right" vertical="center"/>
      <protection locked="0"/>
    </xf>
    <xf numFmtId="176" fontId="20" fillId="3" borderId="53" xfId="0" applyNumberFormat="1" applyFont="1" applyFill="1" applyBorder="1" applyAlignment="1" applyProtection="1">
      <alignment horizontal="right" vertical="center"/>
      <protection locked="0"/>
    </xf>
    <xf numFmtId="178" fontId="20" fillId="5" borderId="47" xfId="0" applyNumberFormat="1" applyFont="1" applyFill="1" applyBorder="1" applyAlignment="1" applyProtection="1">
      <alignment horizontal="right" vertical="center"/>
      <protection locked="0"/>
    </xf>
    <xf numFmtId="176" fontId="20" fillId="3" borderId="40" xfId="0" applyNumberFormat="1" applyFont="1" applyFill="1" applyBorder="1" applyAlignment="1" applyProtection="1">
      <alignment horizontal="right" vertical="center"/>
      <protection locked="0"/>
    </xf>
    <xf numFmtId="177" fontId="20" fillId="3" borderId="44" xfId="0" applyNumberFormat="1" applyFont="1" applyFill="1" applyBorder="1" applyAlignment="1" applyProtection="1">
      <alignment horizontal="right" vertical="center"/>
      <protection locked="0"/>
    </xf>
    <xf numFmtId="177" fontId="20" fillId="3" borderId="0" xfId="0" applyNumberFormat="1" applyFont="1" applyFill="1" applyAlignment="1" applyProtection="1">
      <alignment horizontal="right" vertical="center"/>
      <protection locked="0"/>
    </xf>
    <xf numFmtId="176" fontId="20" fillId="3" borderId="39" xfId="0" applyNumberFormat="1" applyFont="1" applyFill="1" applyBorder="1" applyAlignment="1">
      <alignment horizontal="right" vertical="center"/>
    </xf>
    <xf numFmtId="178" fontId="20" fillId="3" borderId="42" xfId="0" applyNumberFormat="1" applyFont="1" applyFill="1" applyBorder="1" applyAlignment="1" applyProtection="1">
      <alignment horizontal="right" vertical="center"/>
      <protection locked="0"/>
    </xf>
    <xf numFmtId="177" fontId="20" fillId="3" borderId="38" xfId="0" applyNumberFormat="1" applyFont="1" applyFill="1" applyBorder="1" applyAlignment="1" applyProtection="1">
      <alignment horizontal="right" vertical="center"/>
      <protection locked="0"/>
    </xf>
    <xf numFmtId="177" fontId="20" fillId="3" borderId="73" xfId="0" applyNumberFormat="1" applyFont="1" applyFill="1" applyBorder="1" applyAlignment="1" applyProtection="1">
      <alignment horizontal="right" vertical="center"/>
      <protection locked="0"/>
    </xf>
    <xf numFmtId="177" fontId="20" fillId="3" borderId="39" xfId="0" applyNumberFormat="1" applyFont="1" applyFill="1" applyBorder="1" applyAlignment="1" applyProtection="1">
      <alignment horizontal="right" vertical="center"/>
      <protection locked="0"/>
    </xf>
    <xf numFmtId="179" fontId="20" fillId="3" borderId="5" xfId="0" applyNumberFormat="1" applyFont="1" applyFill="1" applyBorder="1" applyAlignment="1" applyProtection="1">
      <alignment horizontal="right" vertical="center"/>
      <protection locked="0"/>
    </xf>
    <xf numFmtId="0" fontId="20" fillId="3" borderId="38" xfId="0" applyFont="1" applyFill="1" applyBorder="1" applyAlignment="1" applyProtection="1">
      <alignment horizontal="right" vertical="center"/>
      <protection locked="0"/>
    </xf>
    <xf numFmtId="176" fontId="20" fillId="3" borderId="40" xfId="0" applyNumberFormat="1" applyFont="1" applyFill="1" applyBorder="1" applyAlignment="1">
      <alignment horizontal="right" vertical="center"/>
    </xf>
    <xf numFmtId="178" fontId="20" fillId="3" borderId="53" xfId="0" applyNumberFormat="1" applyFont="1" applyFill="1" applyBorder="1" applyAlignment="1" applyProtection="1">
      <alignment horizontal="right" vertical="center"/>
      <protection locked="0"/>
    </xf>
    <xf numFmtId="176" fontId="20" fillId="3" borderId="56" xfId="0" applyNumberFormat="1" applyFont="1" applyFill="1" applyBorder="1" applyAlignment="1" applyProtection="1">
      <alignment horizontal="right" vertical="center"/>
      <protection locked="0"/>
    </xf>
    <xf numFmtId="0" fontId="17" fillId="0" borderId="8" xfId="0" applyFont="1" applyBorder="1" applyAlignment="1">
      <alignment horizontal="center" vertical="center"/>
    </xf>
    <xf numFmtId="176" fontId="20" fillId="2" borderId="42" xfId="0" applyNumberFormat="1" applyFont="1" applyFill="1" applyBorder="1" applyAlignment="1" applyProtection="1">
      <alignment horizontal="right" vertical="center"/>
      <protection locked="0"/>
    </xf>
    <xf numFmtId="176" fontId="20" fillId="2" borderId="51" xfId="0" applyNumberFormat="1" applyFont="1" applyFill="1" applyBorder="1" applyAlignment="1" applyProtection="1">
      <alignment horizontal="right" vertical="center"/>
      <protection locked="0"/>
    </xf>
    <xf numFmtId="177" fontId="20" fillId="2" borderId="53" xfId="0" applyNumberFormat="1" applyFont="1" applyFill="1" applyBorder="1" applyAlignment="1" applyProtection="1">
      <alignment horizontal="right" vertical="center"/>
      <protection locked="0"/>
    </xf>
    <xf numFmtId="176" fontId="20" fillId="2" borderId="53" xfId="0" applyNumberFormat="1" applyFont="1" applyFill="1" applyBorder="1" applyAlignment="1" applyProtection="1">
      <alignment horizontal="right" vertical="center"/>
      <protection locked="0"/>
    </xf>
    <xf numFmtId="178" fontId="20" fillId="2" borderId="47" xfId="0" applyNumberFormat="1" applyFont="1" applyFill="1" applyBorder="1" applyAlignment="1" applyProtection="1">
      <alignment horizontal="right" vertical="center"/>
      <protection locked="0"/>
    </xf>
    <xf numFmtId="177" fontId="20" fillId="2" borderId="44" xfId="0" applyNumberFormat="1" applyFont="1" applyFill="1" applyBorder="1" applyAlignment="1" applyProtection="1">
      <alignment horizontal="right" vertical="center"/>
      <protection locked="0"/>
    </xf>
    <xf numFmtId="177" fontId="20" fillId="2" borderId="0" xfId="0" applyNumberFormat="1" applyFont="1" applyFill="1" applyAlignment="1" applyProtection="1">
      <alignment horizontal="right" vertical="center"/>
      <protection locked="0"/>
    </xf>
    <xf numFmtId="176" fontId="20" fillId="2" borderId="47" xfId="0" applyNumberFormat="1" applyFont="1" applyFill="1" applyBorder="1" applyAlignment="1">
      <alignment horizontal="right" vertical="center"/>
    </xf>
    <xf numFmtId="178" fontId="20" fillId="2" borderId="42" xfId="0" applyNumberFormat="1" applyFont="1" applyFill="1" applyBorder="1" applyAlignment="1" applyProtection="1">
      <alignment horizontal="right" vertical="center"/>
      <protection locked="0"/>
    </xf>
    <xf numFmtId="177" fontId="20" fillId="2" borderId="51" xfId="0" applyNumberFormat="1" applyFont="1" applyFill="1" applyBorder="1" applyAlignment="1" applyProtection="1">
      <alignment horizontal="right" vertical="center"/>
      <protection locked="0"/>
    </xf>
    <xf numFmtId="177" fontId="20" fillId="2" borderId="47" xfId="0" applyNumberFormat="1" applyFont="1" applyFill="1" applyBorder="1" applyAlignment="1" applyProtection="1">
      <alignment horizontal="right" vertical="center"/>
      <protection locked="0"/>
    </xf>
    <xf numFmtId="179" fontId="20" fillId="0" borderId="8" xfId="0" applyNumberFormat="1" applyFont="1" applyBorder="1" applyAlignment="1" applyProtection="1">
      <alignment horizontal="right" vertical="center"/>
      <protection locked="0"/>
    </xf>
    <xf numFmtId="0" fontId="20" fillId="2" borderId="53" xfId="0" applyFont="1" applyFill="1" applyBorder="1" applyAlignment="1" applyProtection="1">
      <alignment horizontal="right" vertical="center"/>
      <protection locked="0"/>
    </xf>
    <xf numFmtId="176" fontId="20" fillId="2" borderId="42" xfId="0" applyNumberFormat="1" applyFont="1" applyFill="1" applyBorder="1" applyAlignment="1">
      <alignment horizontal="right" vertical="center"/>
    </xf>
    <xf numFmtId="178" fontId="20" fillId="2" borderId="53" xfId="0" applyNumberFormat="1" applyFont="1" applyFill="1" applyBorder="1" applyAlignment="1" applyProtection="1">
      <alignment horizontal="right" vertical="center"/>
      <protection locked="0"/>
    </xf>
    <xf numFmtId="176" fontId="20" fillId="2" borderId="56" xfId="0" quotePrefix="1" applyNumberFormat="1" applyFont="1" applyFill="1" applyBorder="1" applyAlignment="1" applyProtection="1">
      <alignment horizontal="right" vertical="center"/>
      <protection locked="0"/>
    </xf>
    <xf numFmtId="176" fontId="20" fillId="5" borderId="53" xfId="0" applyNumberFormat="1" applyFont="1" applyFill="1" applyBorder="1" applyAlignment="1" applyProtection="1">
      <alignment horizontal="right" vertical="center"/>
      <protection locked="0"/>
    </xf>
    <xf numFmtId="176" fontId="20" fillId="5" borderId="42" xfId="0" applyNumberFormat="1" applyFont="1" applyFill="1" applyBorder="1" applyAlignment="1" applyProtection="1">
      <alignment horizontal="right" vertical="center"/>
      <protection locked="0"/>
    </xf>
    <xf numFmtId="176" fontId="20" fillId="3" borderId="47" xfId="0" applyNumberFormat="1" applyFont="1" applyFill="1" applyBorder="1" applyAlignment="1">
      <alignment horizontal="right" vertical="center"/>
    </xf>
    <xf numFmtId="177" fontId="20" fillId="3" borderId="51" xfId="0" applyNumberFormat="1" applyFont="1" applyFill="1" applyBorder="1" applyAlignment="1" applyProtection="1">
      <alignment horizontal="right" vertical="center"/>
      <protection locked="0"/>
    </xf>
    <xf numFmtId="177" fontId="20" fillId="3" borderId="47" xfId="0" applyNumberFormat="1" applyFont="1" applyFill="1" applyBorder="1" applyAlignment="1" applyProtection="1">
      <alignment horizontal="right" vertical="center"/>
      <protection locked="0"/>
    </xf>
    <xf numFmtId="177" fontId="20" fillId="3" borderId="8" xfId="0" applyNumberFormat="1" applyFont="1" applyFill="1" applyBorder="1" applyAlignment="1" applyProtection="1">
      <alignment horizontal="right" vertical="center"/>
      <protection locked="0"/>
    </xf>
    <xf numFmtId="0" fontId="20" fillId="3" borderId="53" xfId="0" applyFont="1" applyFill="1" applyBorder="1" applyAlignment="1" applyProtection="1">
      <alignment horizontal="right" vertical="center"/>
      <protection locked="0"/>
    </xf>
    <xf numFmtId="176" fontId="20" fillId="3" borderId="42" xfId="0" applyNumberFormat="1" applyFont="1" applyFill="1" applyBorder="1" applyAlignment="1">
      <alignment horizontal="right" vertical="center"/>
    </xf>
    <xf numFmtId="179" fontId="20" fillId="2" borderId="8" xfId="0" applyNumberFormat="1" applyFont="1" applyFill="1" applyBorder="1" applyAlignment="1" applyProtection="1">
      <alignment horizontal="right" vertical="center"/>
      <protection locked="0"/>
    </xf>
    <xf numFmtId="1" fontId="20" fillId="2" borderId="42" xfId="0" applyNumberFormat="1" applyFont="1" applyFill="1" applyBorder="1" applyAlignment="1">
      <alignment horizontal="right" vertical="center"/>
    </xf>
    <xf numFmtId="176" fontId="20" fillId="2" borderId="56" xfId="0" applyNumberFormat="1" applyFont="1" applyFill="1" applyBorder="1" applyAlignment="1" applyProtection="1">
      <alignment horizontal="right" vertical="center"/>
      <protection locked="0"/>
    </xf>
    <xf numFmtId="179" fontId="20" fillId="3" borderId="8" xfId="0" applyNumberFormat="1" applyFont="1" applyFill="1" applyBorder="1" applyAlignment="1" applyProtection="1">
      <alignment horizontal="right" vertical="center"/>
      <protection locked="0"/>
    </xf>
    <xf numFmtId="176" fontId="20" fillId="4" borderId="42" xfId="0" applyNumberFormat="1" applyFont="1" applyFill="1" applyBorder="1" applyAlignment="1" applyProtection="1">
      <alignment horizontal="right" vertical="center"/>
      <protection locked="0"/>
    </xf>
    <xf numFmtId="176" fontId="20" fillId="4" borderId="53" xfId="0" applyNumberFormat="1" applyFont="1" applyFill="1" applyBorder="1" applyAlignment="1" applyProtection="1">
      <alignment horizontal="right" vertical="center"/>
      <protection locked="0"/>
    </xf>
    <xf numFmtId="177" fontId="20" fillId="4" borderId="53" xfId="0" applyNumberFormat="1" applyFont="1" applyFill="1" applyBorder="1" applyAlignment="1" applyProtection="1">
      <alignment horizontal="right" vertical="center"/>
      <protection locked="0"/>
    </xf>
    <xf numFmtId="180" fontId="20" fillId="4" borderId="44" xfId="0" applyNumberFormat="1" applyFont="1" applyFill="1" applyBorder="1" applyAlignment="1" applyProtection="1">
      <alignment horizontal="right" vertical="center"/>
      <protection locked="0"/>
    </xf>
    <xf numFmtId="180" fontId="20" fillId="4" borderId="53" xfId="0" applyNumberFormat="1" applyFont="1" applyFill="1" applyBorder="1" applyAlignment="1" applyProtection="1">
      <alignment horizontal="right" vertical="center"/>
      <protection locked="0"/>
    </xf>
    <xf numFmtId="176" fontId="20" fillId="4" borderId="44" xfId="0" applyNumberFormat="1" applyFont="1" applyFill="1" applyBorder="1" applyAlignment="1" applyProtection="1">
      <alignment horizontal="right" vertical="center"/>
      <protection locked="0"/>
    </xf>
    <xf numFmtId="178" fontId="20" fillId="4" borderId="47" xfId="0" applyNumberFormat="1" applyFont="1" applyFill="1" applyBorder="1" applyAlignment="1" applyProtection="1">
      <alignment horizontal="right" vertical="center"/>
      <protection locked="0"/>
    </xf>
    <xf numFmtId="176" fontId="20" fillId="4" borderId="51" xfId="0" applyNumberFormat="1" applyFont="1" applyFill="1" applyBorder="1" applyAlignment="1" applyProtection="1">
      <alignment horizontal="right" vertical="center"/>
      <protection locked="0"/>
    </xf>
    <xf numFmtId="177" fontId="20" fillId="4" borderId="0" xfId="0" applyNumberFormat="1" applyFont="1" applyFill="1" applyAlignment="1" applyProtection="1">
      <alignment horizontal="right" vertical="center"/>
      <protection locked="0"/>
    </xf>
    <xf numFmtId="176" fontId="20" fillId="0" borderId="47" xfId="0" applyNumberFormat="1" applyFont="1" applyBorder="1" applyAlignment="1" applyProtection="1">
      <alignment horizontal="right" vertical="center"/>
      <protection locked="0"/>
    </xf>
    <xf numFmtId="178" fontId="20" fillId="0" borderId="42" xfId="0" applyNumberFormat="1" applyFont="1" applyBorder="1" applyAlignment="1" applyProtection="1">
      <alignment horizontal="right" vertical="center"/>
      <protection locked="0"/>
    </xf>
    <xf numFmtId="177" fontId="20" fillId="0" borderId="53" xfId="0" applyNumberFormat="1" applyFont="1" applyBorder="1" applyAlignment="1">
      <alignment horizontal="right" vertical="center"/>
    </xf>
    <xf numFmtId="177" fontId="20" fillId="0" borderId="53" xfId="0" applyNumberFormat="1" applyFont="1" applyBorder="1" applyAlignment="1" applyProtection="1">
      <alignment horizontal="right" vertical="center"/>
      <protection locked="0"/>
    </xf>
    <xf numFmtId="176" fontId="20" fillId="0" borderId="53" xfId="0" applyNumberFormat="1" applyFont="1" applyBorder="1" applyAlignment="1" applyProtection="1">
      <alignment horizontal="right" vertical="center"/>
      <protection locked="0"/>
    </xf>
    <xf numFmtId="177" fontId="20" fillId="0" borderId="47" xfId="0" applyNumberFormat="1" applyFont="1" applyBorder="1" applyAlignment="1" applyProtection="1">
      <alignment horizontal="right" vertical="center"/>
      <protection locked="0"/>
    </xf>
    <xf numFmtId="0" fontId="20" fillId="0" borderId="53" xfId="0" applyFont="1" applyBorder="1" applyAlignment="1" applyProtection="1">
      <alignment horizontal="right" vertical="center"/>
      <protection locked="0"/>
    </xf>
    <xf numFmtId="176" fontId="20" fillId="4" borderId="42" xfId="0" applyNumberFormat="1" applyFont="1" applyFill="1" applyBorder="1" applyAlignment="1">
      <alignment horizontal="right" vertical="center"/>
    </xf>
    <xf numFmtId="178" fontId="20" fillId="4" borderId="53" xfId="0" applyNumberFormat="1" applyFont="1" applyFill="1" applyBorder="1" applyAlignment="1" applyProtection="1">
      <alignment horizontal="right" vertical="center"/>
      <protection locked="0"/>
    </xf>
    <xf numFmtId="176" fontId="20" fillId="4" borderId="56" xfId="0" applyNumberFormat="1" applyFont="1" applyFill="1" applyBorder="1" applyAlignment="1" applyProtection="1">
      <alignment horizontal="right" vertical="center"/>
      <protection locked="0"/>
    </xf>
    <xf numFmtId="0" fontId="17" fillId="5" borderId="8" xfId="0" applyFont="1" applyFill="1" applyBorder="1" applyAlignment="1">
      <alignment horizontal="center" vertical="center"/>
    </xf>
    <xf numFmtId="176" fontId="20" fillId="5" borderId="51" xfId="0" applyNumberFormat="1" applyFont="1" applyFill="1" applyBorder="1" applyAlignment="1" applyProtection="1">
      <alignment horizontal="right" vertical="center"/>
      <protection locked="0"/>
    </xf>
    <xf numFmtId="177" fontId="20" fillId="5" borderId="53" xfId="0" applyNumberFormat="1" applyFont="1" applyFill="1" applyBorder="1" applyAlignment="1" applyProtection="1">
      <alignment horizontal="right" vertical="center"/>
      <protection locked="0"/>
    </xf>
    <xf numFmtId="180" fontId="20" fillId="5" borderId="44" xfId="0" applyNumberFormat="1" applyFont="1" applyFill="1" applyBorder="1" applyAlignment="1" applyProtection="1">
      <alignment horizontal="right" vertical="center"/>
      <protection locked="0"/>
    </xf>
    <xf numFmtId="180" fontId="20" fillId="5" borderId="53" xfId="0" applyNumberFormat="1" applyFont="1" applyFill="1" applyBorder="1" applyAlignment="1" applyProtection="1">
      <alignment horizontal="right" vertical="center"/>
      <protection locked="0"/>
    </xf>
    <xf numFmtId="176" fontId="20" fillId="5" borderId="44" xfId="0" applyNumberFormat="1" applyFont="1" applyFill="1" applyBorder="1" applyAlignment="1" applyProtection="1">
      <alignment horizontal="right" vertical="center"/>
      <protection locked="0"/>
    </xf>
    <xf numFmtId="177" fontId="20" fillId="5" borderId="0" xfId="0" applyNumberFormat="1" applyFont="1" applyFill="1" applyAlignment="1" applyProtection="1">
      <alignment horizontal="right" vertical="center"/>
      <protection locked="0"/>
    </xf>
    <xf numFmtId="176" fontId="20" fillId="5" borderId="47" xfId="0" applyNumberFormat="1" applyFont="1" applyFill="1" applyBorder="1" applyAlignment="1" applyProtection="1">
      <alignment horizontal="right" vertical="center"/>
      <protection locked="0"/>
    </xf>
    <xf numFmtId="178" fontId="20" fillId="5" borderId="42" xfId="0" applyNumberFormat="1" applyFont="1" applyFill="1" applyBorder="1" applyAlignment="1" applyProtection="1">
      <alignment horizontal="right" vertical="center"/>
      <protection locked="0"/>
    </xf>
    <xf numFmtId="177" fontId="20" fillId="5" borderId="53" xfId="0" applyNumberFormat="1" applyFont="1" applyFill="1" applyBorder="1" applyAlignment="1">
      <alignment horizontal="right" vertical="center"/>
    </xf>
    <xf numFmtId="177" fontId="20" fillId="5" borderId="51" xfId="0" applyNumberFormat="1" applyFont="1" applyFill="1" applyBorder="1" applyAlignment="1" applyProtection="1">
      <alignment horizontal="right" vertical="center"/>
      <protection locked="0"/>
    </xf>
    <xf numFmtId="177" fontId="20" fillId="5" borderId="47" xfId="0" applyNumberFormat="1" applyFont="1" applyFill="1" applyBorder="1" applyAlignment="1" applyProtection="1">
      <alignment horizontal="right" vertical="center"/>
      <protection locked="0"/>
    </xf>
    <xf numFmtId="177" fontId="20" fillId="5" borderId="8" xfId="0" applyNumberFormat="1" applyFont="1" applyFill="1" applyBorder="1" applyAlignment="1" applyProtection="1">
      <alignment horizontal="right" vertical="center"/>
      <protection locked="0"/>
    </xf>
    <xf numFmtId="0" fontId="20" fillId="5" borderId="53" xfId="0" applyFont="1" applyFill="1" applyBorder="1" applyAlignment="1" applyProtection="1">
      <alignment horizontal="right" vertical="center"/>
      <protection locked="0"/>
    </xf>
    <xf numFmtId="176" fontId="20" fillId="5" borderId="42" xfId="0" applyNumberFormat="1" applyFont="1" applyFill="1" applyBorder="1" applyAlignment="1">
      <alignment horizontal="right" vertical="center"/>
    </xf>
    <xf numFmtId="178" fontId="20" fillId="5" borderId="53" xfId="0" applyNumberFormat="1" applyFont="1" applyFill="1" applyBorder="1" applyAlignment="1" applyProtection="1">
      <alignment horizontal="right" vertical="center"/>
      <protection locked="0"/>
    </xf>
    <xf numFmtId="176" fontId="20" fillId="5" borderId="56" xfId="0" applyNumberFormat="1" applyFont="1" applyFill="1" applyBorder="1" applyAlignment="1" applyProtection="1">
      <alignment horizontal="right" vertical="center"/>
      <protection locked="0"/>
    </xf>
    <xf numFmtId="176" fontId="20" fillId="0" borderId="42" xfId="0" applyNumberFormat="1" applyFont="1" applyBorder="1" applyAlignment="1" applyProtection="1">
      <alignment horizontal="right" vertical="center"/>
      <protection locked="0"/>
    </xf>
    <xf numFmtId="176" fontId="20" fillId="0" borderId="51" xfId="0" applyNumberFormat="1" applyFont="1" applyBorder="1" applyAlignment="1" applyProtection="1">
      <alignment horizontal="right" vertical="center"/>
      <protection locked="0"/>
    </xf>
    <xf numFmtId="180" fontId="20" fillId="0" borderId="44" xfId="0" applyNumberFormat="1" applyFont="1" applyBorder="1" applyAlignment="1" applyProtection="1">
      <alignment horizontal="right" vertical="center"/>
      <protection locked="0"/>
    </xf>
    <xf numFmtId="180" fontId="20" fillId="0" borderId="53" xfId="0" applyNumberFormat="1" applyFont="1" applyBorder="1" applyAlignment="1" applyProtection="1">
      <alignment horizontal="right" vertical="center"/>
      <protection locked="0"/>
    </xf>
    <xf numFmtId="176" fontId="20" fillId="0" borderId="44" xfId="0" applyNumberFormat="1" applyFont="1" applyBorder="1" applyAlignment="1" applyProtection="1">
      <alignment horizontal="right" vertical="center"/>
      <protection locked="0"/>
    </xf>
    <xf numFmtId="177" fontId="20" fillId="0" borderId="0" xfId="0" applyNumberFormat="1" applyFont="1" applyAlignment="1" applyProtection="1">
      <alignment horizontal="right" vertical="center"/>
      <protection locked="0"/>
    </xf>
    <xf numFmtId="177" fontId="20" fillId="0" borderId="51" xfId="0" applyNumberFormat="1" applyFont="1" applyBorder="1" applyAlignment="1" applyProtection="1">
      <alignment horizontal="right" vertical="center"/>
      <protection locked="0"/>
    </xf>
    <xf numFmtId="176" fontId="20" fillId="0" borderId="42" xfId="0" applyNumberFormat="1" applyFont="1" applyBorder="1" applyAlignment="1">
      <alignment horizontal="right" vertical="center"/>
    </xf>
    <xf numFmtId="178" fontId="20" fillId="0" borderId="53" xfId="0" applyNumberFormat="1" applyFont="1" applyBorder="1" applyAlignment="1" applyProtection="1">
      <alignment horizontal="right" vertical="center"/>
      <protection locked="0"/>
    </xf>
    <xf numFmtId="176" fontId="20" fillId="0" borderId="56" xfId="0" applyNumberFormat="1" applyFont="1" applyBorder="1" applyAlignment="1" applyProtection="1">
      <alignment horizontal="right" vertical="center"/>
      <protection locked="0"/>
    </xf>
    <xf numFmtId="177" fontId="20" fillId="5" borderId="44" xfId="0" applyNumberFormat="1" applyFont="1" applyFill="1" applyBorder="1" applyAlignment="1" applyProtection="1">
      <alignment horizontal="right" vertical="center"/>
      <protection locked="0"/>
    </xf>
    <xf numFmtId="176" fontId="20" fillId="5" borderId="47" xfId="0" applyNumberFormat="1" applyFont="1" applyFill="1" applyBorder="1" applyAlignment="1">
      <alignment horizontal="right" vertical="center"/>
    </xf>
    <xf numFmtId="179" fontId="20" fillId="5" borderId="8" xfId="0" applyNumberFormat="1" applyFont="1" applyFill="1" applyBorder="1" applyAlignment="1" applyProtection="1">
      <alignment horizontal="right" vertical="center"/>
      <protection locked="0"/>
    </xf>
    <xf numFmtId="178" fontId="20" fillId="0" borderId="47" xfId="0" applyNumberFormat="1" applyFont="1" applyBorder="1" applyAlignment="1" applyProtection="1">
      <alignment horizontal="right" vertical="center"/>
      <protection locked="0"/>
    </xf>
    <xf numFmtId="177" fontId="20" fillId="0" borderId="44" xfId="0" applyNumberFormat="1" applyFont="1" applyBorder="1" applyAlignment="1" applyProtection="1">
      <alignment horizontal="right" vertical="center"/>
      <protection locked="0"/>
    </xf>
    <xf numFmtId="0" fontId="20" fillId="5" borderId="8" xfId="0" applyFont="1" applyFill="1" applyBorder="1" applyAlignment="1" applyProtection="1">
      <alignment horizontal="right" vertical="center"/>
      <protection locked="0"/>
    </xf>
    <xf numFmtId="176" fontId="20" fillId="0" borderId="47" xfId="0" applyNumberFormat="1" applyFont="1" applyBorder="1" applyAlignment="1">
      <alignment horizontal="right" vertical="center"/>
    </xf>
    <xf numFmtId="49" fontId="20" fillId="0" borderId="44" xfId="0" applyNumberFormat="1" applyFont="1" applyBorder="1" applyAlignment="1" applyProtection="1">
      <alignment horizontal="right" vertical="center"/>
      <protection locked="0"/>
    </xf>
    <xf numFmtId="49" fontId="20" fillId="0" borderId="47" xfId="0" applyNumberFormat="1" applyFont="1" applyBorder="1" applyAlignment="1" applyProtection="1">
      <alignment horizontal="right" vertical="center"/>
      <protection locked="0"/>
    </xf>
    <xf numFmtId="49" fontId="20" fillId="0" borderId="8" xfId="0" applyNumberFormat="1" applyFont="1" applyBorder="1" applyAlignment="1" applyProtection="1">
      <alignment horizontal="right" vertical="center"/>
      <protection locked="0"/>
    </xf>
    <xf numFmtId="0" fontId="20" fillId="0" borderId="44" xfId="0" applyFont="1" applyBorder="1" applyAlignment="1" applyProtection="1">
      <alignment horizontal="right" vertical="center"/>
      <protection locked="0"/>
    </xf>
    <xf numFmtId="49" fontId="20" fillId="5" borderId="44" xfId="0" applyNumberFormat="1" applyFont="1" applyFill="1" applyBorder="1" applyAlignment="1" applyProtection="1">
      <alignment horizontal="right" vertical="center"/>
      <protection locked="0"/>
    </xf>
    <xf numFmtId="49" fontId="20" fillId="5" borderId="47" xfId="0" applyNumberFormat="1" applyFont="1" applyFill="1" applyBorder="1" applyAlignment="1" applyProtection="1">
      <alignment horizontal="right" vertical="center"/>
      <protection locked="0"/>
    </xf>
    <xf numFmtId="49" fontId="20" fillId="5" borderId="8" xfId="0" applyNumberFormat="1" applyFont="1" applyFill="1" applyBorder="1" applyAlignment="1" applyProtection="1">
      <alignment horizontal="right" vertical="center"/>
      <protection locked="0"/>
    </xf>
    <xf numFmtId="0" fontId="20" fillId="5" borderId="44" xfId="0" applyFont="1" applyFill="1" applyBorder="1" applyAlignment="1" applyProtection="1">
      <alignment horizontal="right" vertical="center"/>
      <protection locked="0"/>
    </xf>
    <xf numFmtId="177" fontId="20" fillId="0" borderId="53" xfId="0" quotePrefix="1" applyNumberFormat="1" applyFont="1" applyBorder="1" applyAlignment="1" applyProtection="1">
      <alignment horizontal="right" vertical="center"/>
      <protection locked="0"/>
    </xf>
    <xf numFmtId="177" fontId="20" fillId="0" borderId="47" xfId="0" quotePrefix="1" applyNumberFormat="1" applyFont="1" applyBorder="1" applyAlignment="1" applyProtection="1">
      <alignment horizontal="right" vertical="center"/>
      <protection locked="0"/>
    </xf>
    <xf numFmtId="177" fontId="20" fillId="0" borderId="8" xfId="0" quotePrefix="1" applyNumberFormat="1" applyFont="1" applyBorder="1" applyAlignment="1" applyProtection="1">
      <alignment horizontal="right" vertical="center"/>
      <protection locked="0"/>
    </xf>
    <xf numFmtId="0" fontId="20" fillId="0" borderId="53" xfId="0" quotePrefix="1" applyFont="1" applyBorder="1" applyAlignment="1" applyProtection="1">
      <alignment horizontal="right" vertical="center"/>
      <protection locked="0"/>
    </xf>
    <xf numFmtId="176" fontId="20" fillId="0" borderId="56" xfId="0" quotePrefix="1" applyNumberFormat="1" applyFont="1" applyBorder="1" applyAlignment="1" applyProtection="1">
      <alignment horizontal="right" vertical="center"/>
      <protection locked="0"/>
    </xf>
    <xf numFmtId="178" fontId="20" fillId="0" borderId="74" xfId="0" applyNumberFormat="1" applyFont="1" applyBorder="1" applyAlignment="1" applyProtection="1">
      <alignment horizontal="right" vertical="center" wrapText="1"/>
      <protection locked="0"/>
    </xf>
    <xf numFmtId="176" fontId="20" fillId="0" borderId="51" xfId="0" applyNumberFormat="1" applyFont="1" applyBorder="1" applyAlignment="1" applyProtection="1">
      <alignment horizontal="right" vertical="center" wrapText="1"/>
      <protection locked="0"/>
    </xf>
    <xf numFmtId="179" fontId="20" fillId="0" borderId="8" xfId="0" applyNumberFormat="1" applyFont="1" applyBorder="1" applyAlignment="1" applyProtection="1">
      <alignment horizontal="right" vertical="center" wrapText="1"/>
      <protection locked="0"/>
    </xf>
    <xf numFmtId="181" fontId="20" fillId="5" borderId="53" xfId="1" applyNumberFormat="1" applyFont="1" applyFill="1" applyBorder="1" applyAlignment="1" applyProtection="1">
      <alignment horizontal="right" vertical="center"/>
      <protection locked="0"/>
    </xf>
    <xf numFmtId="177" fontId="20" fillId="5" borderId="44" xfId="0" applyNumberFormat="1" applyFont="1" applyFill="1" applyBorder="1" applyAlignment="1">
      <alignment horizontal="right" vertical="center"/>
    </xf>
    <xf numFmtId="177" fontId="20" fillId="0" borderId="44" xfId="0" applyNumberFormat="1" applyFont="1" applyBorder="1" applyAlignment="1">
      <alignment horizontal="right" vertical="center"/>
    </xf>
    <xf numFmtId="1" fontId="20" fillId="5" borderId="47" xfId="0" applyNumberFormat="1" applyFont="1" applyFill="1" applyBorder="1" applyAlignment="1">
      <alignment horizontal="right" vertical="center"/>
    </xf>
    <xf numFmtId="176" fontId="20" fillId="0" borderId="53" xfId="3" applyNumberFormat="1" applyFont="1" applyBorder="1" applyAlignment="1" applyProtection="1">
      <alignment horizontal="right" vertical="center"/>
      <protection locked="0"/>
    </xf>
    <xf numFmtId="1" fontId="20" fillId="0" borderId="47" xfId="0" applyNumberFormat="1" applyFont="1" applyBorder="1" applyAlignment="1">
      <alignment horizontal="right" vertical="center"/>
    </xf>
    <xf numFmtId="178" fontId="20" fillId="5" borderId="42" xfId="0" applyNumberFormat="1" applyFont="1" applyFill="1" applyBorder="1" applyAlignment="1" applyProtection="1">
      <alignment horizontal="right" vertical="center" shrinkToFit="1"/>
      <protection locked="0"/>
    </xf>
    <xf numFmtId="38" fontId="20" fillId="0" borderId="47" xfId="1" applyFont="1" applyFill="1" applyBorder="1" applyAlignment="1">
      <alignment horizontal="right" vertical="center"/>
    </xf>
    <xf numFmtId="178" fontId="20" fillId="0" borderId="42" xfId="0" applyNumberFormat="1" applyFont="1" applyBorder="1" applyAlignment="1" applyProtection="1">
      <alignment horizontal="right" vertical="center" shrinkToFit="1"/>
      <protection locked="0"/>
    </xf>
    <xf numFmtId="176" fontId="20" fillId="0" borderId="8" xfId="0" applyNumberFormat="1" applyFont="1" applyBorder="1" applyAlignment="1" applyProtection="1">
      <alignment horizontal="right" vertical="center"/>
      <protection locked="0"/>
    </xf>
    <xf numFmtId="178" fontId="20" fillId="0" borderId="56" xfId="0" applyNumberFormat="1" applyFont="1" applyBorder="1" applyAlignment="1" applyProtection="1">
      <alignment horizontal="right" vertical="center"/>
      <protection locked="0"/>
    </xf>
    <xf numFmtId="176" fontId="20" fillId="0" borderId="75" xfId="0" applyNumberFormat="1" applyFont="1" applyBorder="1" applyAlignment="1" applyProtection="1">
      <alignment horizontal="right" vertical="center"/>
      <protection locked="0"/>
    </xf>
    <xf numFmtId="177" fontId="20" fillId="0" borderId="76" xfId="0" applyNumberFormat="1" applyFont="1" applyBorder="1" applyAlignment="1" applyProtection="1">
      <alignment horizontal="right" vertical="center"/>
      <protection locked="0"/>
    </xf>
    <xf numFmtId="176" fontId="20" fillId="0" borderId="77" xfId="0" applyNumberFormat="1" applyFont="1" applyBorder="1" applyAlignment="1" applyProtection="1">
      <alignment horizontal="right" vertical="center"/>
      <protection locked="0"/>
    </xf>
    <xf numFmtId="177" fontId="20" fillId="0" borderId="75" xfId="0" applyNumberFormat="1" applyFont="1" applyBorder="1" applyAlignment="1" applyProtection="1">
      <alignment horizontal="right" vertical="center"/>
      <protection locked="0"/>
    </xf>
    <xf numFmtId="177" fontId="20" fillId="4" borderId="75" xfId="0" applyNumberFormat="1" applyFont="1" applyFill="1" applyBorder="1" applyAlignment="1" applyProtection="1">
      <alignment horizontal="right" vertical="center"/>
      <protection locked="0"/>
    </xf>
    <xf numFmtId="177" fontId="20" fillId="4" borderId="47" xfId="0" applyNumberFormat="1" applyFont="1" applyFill="1" applyBorder="1" applyAlignment="1" applyProtection="1">
      <alignment horizontal="right" vertical="center"/>
      <protection locked="0"/>
    </xf>
    <xf numFmtId="179" fontId="20" fillId="4" borderId="8" xfId="0" applyNumberFormat="1" applyFont="1" applyFill="1" applyBorder="1" applyAlignment="1" applyProtection="1">
      <alignment horizontal="right" vertical="center"/>
      <protection locked="0"/>
    </xf>
    <xf numFmtId="0" fontId="20" fillId="4" borderId="75" xfId="0" applyFont="1" applyFill="1" applyBorder="1" applyAlignment="1" applyProtection="1">
      <alignment horizontal="right" vertical="center"/>
      <protection locked="0"/>
    </xf>
    <xf numFmtId="177" fontId="20" fillId="4" borderId="77" xfId="0" applyNumberFormat="1" applyFont="1" applyFill="1" applyBorder="1" applyAlignment="1" applyProtection="1">
      <alignment horizontal="right" vertical="center"/>
      <protection locked="0"/>
    </xf>
    <xf numFmtId="0" fontId="17" fillId="5" borderId="78" xfId="0" applyFont="1" applyFill="1" applyBorder="1" applyAlignment="1">
      <alignment horizontal="center" vertical="center"/>
    </xf>
    <xf numFmtId="176" fontId="20" fillId="3" borderId="79" xfId="0" applyNumberFormat="1" applyFont="1" applyFill="1" applyBorder="1" applyProtection="1">
      <alignment vertical="center"/>
      <protection locked="0"/>
    </xf>
    <xf numFmtId="176" fontId="20" fillId="3" borderId="80" xfId="0" applyNumberFormat="1" applyFont="1" applyFill="1" applyBorder="1" applyProtection="1">
      <alignment vertical="center"/>
      <protection locked="0"/>
    </xf>
    <xf numFmtId="177" fontId="20" fillId="3" borderId="81" xfId="0" applyNumberFormat="1" applyFont="1" applyFill="1" applyBorder="1" applyAlignment="1" applyProtection="1">
      <alignment horizontal="right" vertical="center"/>
      <protection locked="0"/>
    </xf>
    <xf numFmtId="176" fontId="20" fillId="3" borderId="81" xfId="0" applyNumberFormat="1" applyFont="1" applyFill="1" applyBorder="1" applyAlignment="1" applyProtection="1">
      <alignment horizontal="right" vertical="center"/>
      <protection locked="0"/>
    </xf>
    <xf numFmtId="176" fontId="20" fillId="3" borderId="81" xfId="0" applyNumberFormat="1" applyFont="1" applyFill="1" applyBorder="1" applyProtection="1">
      <alignment vertical="center"/>
      <protection locked="0"/>
    </xf>
    <xf numFmtId="178" fontId="20" fillId="3" borderId="82" xfId="0" applyNumberFormat="1" applyFont="1" applyFill="1" applyBorder="1" applyAlignment="1" applyProtection="1">
      <alignment horizontal="right" vertical="center"/>
      <protection locked="0"/>
    </xf>
    <xf numFmtId="176" fontId="20" fillId="3" borderId="79" xfId="0" applyNumberFormat="1" applyFont="1" applyFill="1" applyBorder="1" applyAlignment="1" applyProtection="1">
      <alignment horizontal="right" vertical="center"/>
      <protection locked="0"/>
    </xf>
    <xf numFmtId="176" fontId="20" fillId="3" borderId="80" xfId="0" applyNumberFormat="1" applyFont="1" applyFill="1" applyBorder="1" applyAlignment="1" applyProtection="1">
      <alignment horizontal="right" vertical="center"/>
      <protection locked="0"/>
    </xf>
    <xf numFmtId="177" fontId="20" fillId="3" borderId="83" xfId="0" applyNumberFormat="1" applyFont="1" applyFill="1" applyBorder="1" applyAlignment="1" applyProtection="1">
      <alignment horizontal="right" vertical="center"/>
      <protection locked="0"/>
    </xf>
    <xf numFmtId="176" fontId="20" fillId="3" borderId="83" xfId="0" applyNumberFormat="1" applyFont="1" applyFill="1" applyBorder="1" applyAlignment="1" applyProtection="1">
      <alignment horizontal="right" vertical="center"/>
      <protection locked="0"/>
    </xf>
    <xf numFmtId="177" fontId="20" fillId="3" borderId="82" xfId="0" applyNumberFormat="1" applyFont="1" applyFill="1" applyBorder="1" applyAlignment="1">
      <alignment horizontal="right" vertical="center"/>
    </xf>
    <xf numFmtId="178" fontId="20" fillId="3" borderId="79" xfId="0" applyNumberFormat="1" applyFont="1" applyFill="1" applyBorder="1" applyProtection="1">
      <alignment vertical="center"/>
      <protection locked="0"/>
    </xf>
    <xf numFmtId="177" fontId="20" fillId="3" borderId="81" xfId="0" applyNumberFormat="1" applyFont="1" applyFill="1" applyBorder="1" applyProtection="1">
      <alignment vertical="center"/>
      <protection locked="0"/>
    </xf>
    <xf numFmtId="177" fontId="20" fillId="3" borderId="82" xfId="0" applyNumberFormat="1" applyFont="1" applyFill="1" applyBorder="1" applyProtection="1">
      <alignment vertical="center"/>
      <protection locked="0"/>
    </xf>
    <xf numFmtId="177" fontId="20" fillId="3" borderId="78" xfId="0" applyNumberFormat="1" applyFont="1" applyFill="1" applyBorder="1" applyAlignment="1" applyProtection="1">
      <alignment horizontal="right" vertical="center"/>
      <protection locked="0"/>
    </xf>
    <xf numFmtId="177" fontId="20" fillId="5" borderId="82" xfId="0" applyNumberFormat="1" applyFont="1" applyFill="1" applyBorder="1" applyAlignment="1" applyProtection="1">
      <alignment horizontal="right" vertical="center"/>
      <protection locked="0"/>
    </xf>
    <xf numFmtId="176" fontId="20" fillId="3" borderId="79" xfId="0" applyNumberFormat="1" applyFont="1" applyFill="1" applyBorder="1" applyAlignment="1">
      <alignment horizontal="right" vertical="center"/>
    </xf>
    <xf numFmtId="178" fontId="20" fillId="3" borderId="81" xfId="0" applyNumberFormat="1" applyFont="1" applyFill="1" applyBorder="1">
      <alignment vertical="center"/>
    </xf>
    <xf numFmtId="176" fontId="20" fillId="3" borderId="81" xfId="0" applyNumberFormat="1" applyFont="1" applyFill="1" applyBorder="1">
      <alignment vertical="center"/>
    </xf>
    <xf numFmtId="176" fontId="20" fillId="3" borderId="81" xfId="0" applyNumberFormat="1" applyFont="1" applyFill="1" applyBorder="1" applyAlignment="1">
      <alignment horizontal="right" vertical="center"/>
    </xf>
    <xf numFmtId="176" fontId="20" fillId="3" borderId="82" xfId="0" applyNumberFormat="1" applyFont="1" applyFill="1" applyBorder="1">
      <alignment vertical="center"/>
    </xf>
    <xf numFmtId="0" fontId="17" fillId="0" borderId="84" xfId="0" applyFont="1" applyBorder="1" applyAlignment="1">
      <alignment horizontal="center" vertical="center"/>
    </xf>
    <xf numFmtId="176" fontId="20" fillId="0" borderId="84" xfId="0" applyNumberFormat="1" applyFont="1" applyBorder="1" applyProtection="1">
      <alignment vertical="center"/>
      <protection locked="0"/>
    </xf>
    <xf numFmtId="176" fontId="20" fillId="0" borderId="75" xfId="0" applyNumberFormat="1" applyFont="1" applyBorder="1" applyProtection="1">
      <alignment vertical="center"/>
      <protection locked="0"/>
    </xf>
    <xf numFmtId="177" fontId="20" fillId="0" borderId="75" xfId="0" applyNumberFormat="1" applyFont="1" applyBorder="1" applyProtection="1">
      <alignment vertical="center"/>
      <protection locked="0"/>
    </xf>
    <xf numFmtId="178" fontId="20" fillId="0" borderId="75" xfId="0" applyNumberFormat="1" applyFont="1" applyBorder="1" applyProtection="1">
      <alignment vertical="center"/>
      <protection locked="0"/>
    </xf>
    <xf numFmtId="176" fontId="20" fillId="0" borderId="85" xfId="0" applyNumberFormat="1" applyFont="1" applyBorder="1" applyProtection="1">
      <alignment vertical="center"/>
      <protection locked="0"/>
    </xf>
    <xf numFmtId="182" fontId="20" fillId="0" borderId="75" xfId="0" applyNumberFormat="1" applyFont="1" applyBorder="1" applyProtection="1">
      <alignment vertical="center"/>
      <protection locked="0"/>
    </xf>
    <xf numFmtId="178" fontId="20" fillId="0" borderId="84" xfId="0" applyNumberFormat="1" applyFont="1" applyBorder="1" applyProtection="1">
      <alignment vertical="center"/>
      <protection locked="0"/>
    </xf>
    <xf numFmtId="177" fontId="20" fillId="0" borderId="86" xfId="0" applyNumberFormat="1" applyFont="1" applyBorder="1" applyAlignment="1" applyProtection="1">
      <alignment horizontal="right" vertical="center"/>
      <protection locked="0"/>
    </xf>
    <xf numFmtId="177" fontId="20" fillId="0" borderId="77" xfId="0" applyNumberFormat="1" applyFont="1" applyBorder="1" applyProtection="1">
      <alignment vertical="center"/>
      <protection locked="0"/>
    </xf>
    <xf numFmtId="177" fontId="20" fillId="0" borderId="84" xfId="0" applyNumberFormat="1" applyFont="1" applyBorder="1" applyAlignment="1" applyProtection="1">
      <alignment horizontal="right" vertical="center"/>
      <protection locked="0"/>
    </xf>
    <xf numFmtId="177" fontId="20" fillId="0" borderId="77" xfId="0" applyNumberFormat="1" applyFont="1" applyBorder="1" applyAlignment="1" applyProtection="1">
      <alignment horizontal="right" vertical="center"/>
      <protection locked="0"/>
    </xf>
    <xf numFmtId="177" fontId="20" fillId="0" borderId="84" xfId="0" applyNumberFormat="1" applyFont="1" applyBorder="1" applyProtection="1">
      <alignment vertical="center"/>
      <protection locked="0"/>
    </xf>
    <xf numFmtId="177" fontId="20" fillId="0" borderId="87" xfId="0" applyNumberFormat="1" applyFont="1" applyBorder="1" applyProtection="1">
      <alignment vertical="center"/>
      <protection locked="0"/>
    </xf>
    <xf numFmtId="0" fontId="22" fillId="0" borderId="88" xfId="0" applyFont="1" applyBorder="1" applyAlignment="1">
      <alignment horizontal="left" vertical="center" wrapText="1"/>
    </xf>
    <xf numFmtId="0" fontId="23" fillId="0" borderId="0" xfId="0" applyFont="1" applyAlignment="1">
      <alignment horizontal="left" vertical="center" wrapText="1"/>
    </xf>
    <xf numFmtId="0" fontId="23" fillId="0" borderId="88" xfId="0" applyFont="1" applyBorder="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25" fillId="0" borderId="88" xfId="0" applyFont="1" applyBorder="1" applyAlignment="1">
      <alignment horizontal="left" vertical="center"/>
    </xf>
    <xf numFmtId="0" fontId="23" fillId="0" borderId="88" xfId="0" applyFont="1" applyBorder="1">
      <alignment vertical="center"/>
    </xf>
    <xf numFmtId="0" fontId="23" fillId="0" borderId="0" xfId="0" applyFont="1" applyAlignment="1">
      <alignment vertical="center" wrapText="1"/>
    </xf>
    <xf numFmtId="0" fontId="23" fillId="0" borderId="0" xfId="0" applyFont="1">
      <alignment vertical="center"/>
    </xf>
    <xf numFmtId="49" fontId="25" fillId="0" borderId="0" xfId="0" applyNumberFormat="1" applyFont="1">
      <alignment vertical="center"/>
    </xf>
    <xf numFmtId="0" fontId="23" fillId="0" borderId="0" xfId="0" applyFont="1" applyAlignment="1">
      <alignment horizontal="righ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15" fillId="0" borderId="0" xfId="0" applyFont="1" applyAlignment="1">
      <alignment horizontal="right" vertical="center"/>
    </xf>
    <xf numFmtId="0" fontId="17" fillId="0" borderId="5" xfId="0" applyFont="1" applyBorder="1">
      <alignment vertical="center"/>
    </xf>
    <xf numFmtId="0" fontId="17" fillId="0" borderId="32" xfId="0" applyFont="1" applyBorder="1">
      <alignment vertical="center"/>
    </xf>
    <xf numFmtId="0" fontId="17" fillId="2" borderId="89" xfId="0" applyFont="1" applyFill="1" applyBorder="1">
      <alignment vertical="center"/>
    </xf>
    <xf numFmtId="0" fontId="17" fillId="2" borderId="90" xfId="0" applyFont="1" applyFill="1" applyBorder="1">
      <alignment vertical="center"/>
    </xf>
    <xf numFmtId="0" fontId="15" fillId="0" borderId="7" xfId="0" applyFont="1" applyBorder="1">
      <alignment vertical="center"/>
    </xf>
    <xf numFmtId="0" fontId="17" fillId="0" borderId="8" xfId="0" applyFont="1" applyBorder="1">
      <alignment vertical="center"/>
    </xf>
    <xf numFmtId="0" fontId="17" fillId="2" borderId="44" xfId="0" applyFont="1" applyFill="1" applyBorder="1">
      <alignment vertical="center"/>
    </xf>
    <xf numFmtId="0" fontId="17" fillId="0" borderId="0" xfId="0" applyFont="1" applyAlignment="1">
      <alignment horizontal="center" vertical="center"/>
    </xf>
    <xf numFmtId="0" fontId="26" fillId="0" borderId="43" xfId="0" applyFont="1" applyBorder="1" applyAlignment="1">
      <alignment horizontal="center" vertical="center" wrapText="1"/>
    </xf>
    <xf numFmtId="0" fontId="18" fillId="2" borderId="65" xfId="0" applyFont="1" applyFill="1" applyBorder="1" applyAlignment="1">
      <alignment horizontal="right" vertical="center"/>
    </xf>
    <xf numFmtId="0" fontId="18" fillId="2" borderId="66" xfId="0" applyFont="1" applyFill="1" applyBorder="1" applyAlignment="1">
      <alignment horizontal="right" vertical="center"/>
    </xf>
    <xf numFmtId="176" fontId="20" fillId="3" borderId="42" xfId="0" applyNumberFormat="1" applyFont="1" applyFill="1" applyBorder="1" applyProtection="1">
      <alignment vertical="center"/>
      <protection locked="0"/>
    </xf>
    <xf numFmtId="176" fontId="20" fillId="2" borderId="42" xfId="0" applyNumberFormat="1" applyFont="1" applyFill="1" applyBorder="1" applyProtection="1">
      <alignment vertical="center"/>
      <protection locked="0"/>
    </xf>
    <xf numFmtId="183" fontId="20" fillId="5" borderId="44" xfId="0" applyNumberFormat="1" applyFont="1" applyFill="1" applyBorder="1" applyAlignment="1" applyProtection="1">
      <alignment horizontal="right" vertical="center"/>
      <protection locked="0"/>
    </xf>
    <xf numFmtId="183" fontId="20" fillId="5" borderId="47" xfId="0" applyNumberFormat="1" applyFont="1" applyFill="1" applyBorder="1" applyAlignment="1" applyProtection="1">
      <alignment horizontal="right" vertical="center"/>
      <protection locked="0"/>
    </xf>
    <xf numFmtId="176" fontId="20" fillId="0" borderId="42" xfId="0" applyNumberFormat="1" applyFont="1" applyBorder="1" applyProtection="1">
      <alignment vertical="center"/>
      <protection locked="0"/>
    </xf>
    <xf numFmtId="176" fontId="20" fillId="5" borderId="42" xfId="0" applyNumberFormat="1" applyFont="1" applyFill="1" applyBorder="1" applyProtection="1">
      <alignment vertical="center"/>
      <protection locked="0"/>
    </xf>
    <xf numFmtId="177" fontId="27" fillId="4" borderId="44" xfId="0" applyNumberFormat="1" applyFont="1" applyFill="1" applyBorder="1" applyAlignment="1" applyProtection="1">
      <alignment horizontal="right" vertical="center"/>
      <protection locked="0"/>
    </xf>
    <xf numFmtId="177" fontId="27" fillId="4" borderId="47" xfId="0" applyNumberFormat="1" applyFont="1" applyFill="1" applyBorder="1" applyAlignment="1" applyProtection="1">
      <alignment horizontal="right" vertical="center"/>
      <protection locked="0"/>
    </xf>
    <xf numFmtId="177" fontId="20" fillId="3" borderId="44" xfId="0" applyNumberFormat="1" applyFont="1" applyFill="1" applyBorder="1" applyAlignment="1" applyProtection="1">
      <alignment horizontal="right" vertical="center" wrapText="1"/>
      <protection locked="0"/>
    </xf>
    <xf numFmtId="177" fontId="20" fillId="0" borderId="47" xfId="0" applyNumberFormat="1" applyFont="1" applyBorder="1" applyAlignment="1" applyProtection="1">
      <alignment horizontal="right" vertical="center" shrinkToFit="1"/>
      <protection locked="0"/>
    </xf>
    <xf numFmtId="177" fontId="20" fillId="5" borderId="47" xfId="0" applyNumberFormat="1" applyFont="1" applyFill="1" applyBorder="1" applyAlignment="1" applyProtection="1">
      <alignment horizontal="right" vertical="center" shrinkToFit="1"/>
      <protection locked="0"/>
    </xf>
    <xf numFmtId="38" fontId="20" fillId="0" borderId="53" xfId="1" applyFont="1" applyFill="1" applyBorder="1" applyAlignment="1" applyProtection="1">
      <alignment horizontal="right" vertical="center"/>
      <protection locked="0"/>
    </xf>
    <xf numFmtId="176" fontId="20" fillId="5" borderId="78" xfId="0" applyNumberFormat="1" applyFont="1" applyFill="1" applyBorder="1">
      <alignment vertical="center"/>
    </xf>
    <xf numFmtId="176" fontId="20" fillId="5" borderId="81" xfId="0" applyNumberFormat="1" applyFont="1" applyFill="1" applyBorder="1" applyAlignment="1">
      <alignment horizontal="right" vertical="center"/>
    </xf>
    <xf numFmtId="176" fontId="20" fillId="5" borderId="81" xfId="0" applyNumberFormat="1" applyFont="1" applyFill="1" applyBorder="1">
      <alignment vertical="center"/>
    </xf>
    <xf numFmtId="176" fontId="20" fillId="5" borderId="88" xfId="0" applyNumberFormat="1" applyFont="1" applyFill="1" applyBorder="1" applyAlignment="1">
      <alignment horizontal="right" vertical="center"/>
    </xf>
    <xf numFmtId="176" fontId="20" fillId="5" borderId="83" xfId="0" applyNumberFormat="1" applyFont="1" applyFill="1" applyBorder="1" applyAlignment="1">
      <alignment horizontal="right" vertical="center"/>
    </xf>
    <xf numFmtId="176" fontId="20" fillId="5" borderId="83" xfId="4" applyNumberFormat="1" applyFont="1" applyFill="1" applyBorder="1" applyAlignment="1">
      <alignment horizontal="right" vertical="center"/>
    </xf>
    <xf numFmtId="176" fontId="20" fillId="5" borderId="82" xfId="4" applyNumberFormat="1" applyFont="1" applyFill="1" applyBorder="1" applyAlignment="1">
      <alignment horizontal="right" vertical="center"/>
    </xf>
    <xf numFmtId="0" fontId="17" fillId="2" borderId="84" xfId="0" applyFont="1" applyFill="1" applyBorder="1" applyAlignment="1">
      <alignment horizontal="center" vertical="center"/>
    </xf>
    <xf numFmtId="176" fontId="20" fillId="2" borderId="84" xfId="0" applyNumberFormat="1" applyFont="1" applyFill="1" applyBorder="1">
      <alignment vertical="center"/>
    </xf>
    <xf numFmtId="177" fontId="20" fillId="2" borderId="75" xfId="0" applyNumberFormat="1" applyFont="1" applyFill="1" applyBorder="1">
      <alignment vertical="center"/>
    </xf>
    <xf numFmtId="176" fontId="20" fillId="2" borderId="75" xfId="0" applyNumberFormat="1" applyFont="1" applyFill="1" applyBorder="1">
      <alignment vertical="center"/>
    </xf>
    <xf numFmtId="177" fontId="20" fillId="2" borderId="93" xfId="0" applyNumberFormat="1" applyFont="1" applyFill="1" applyBorder="1">
      <alignment vertical="center"/>
    </xf>
    <xf numFmtId="177" fontId="20" fillId="2" borderId="76" xfId="0" applyNumberFormat="1" applyFont="1" applyFill="1" applyBorder="1">
      <alignment vertical="center"/>
    </xf>
    <xf numFmtId="177" fontId="20" fillId="2" borderId="77" xfId="0" applyNumberFormat="1" applyFont="1" applyFill="1" applyBorder="1">
      <alignment vertical="center"/>
    </xf>
    <xf numFmtId="0" fontId="22" fillId="0" borderId="0" xfId="0" applyFont="1">
      <alignment vertical="center"/>
    </xf>
    <xf numFmtId="0" fontId="22" fillId="0" borderId="0" xfId="0" applyFont="1" applyAlignment="1">
      <alignment vertical="center" wrapText="1"/>
    </xf>
    <xf numFmtId="0" fontId="0" fillId="0" borderId="0" xfId="0" applyAlignment="1">
      <alignment vertical="center" wrapText="1"/>
    </xf>
    <xf numFmtId="184" fontId="0" fillId="0" borderId="0" xfId="0" applyNumberFormat="1">
      <alignment vertical="center"/>
    </xf>
    <xf numFmtId="185" fontId="0" fillId="0" borderId="0" xfId="0" applyNumberFormat="1">
      <alignment vertical="center"/>
    </xf>
    <xf numFmtId="0" fontId="11" fillId="0" borderId="0" xfId="0" applyFont="1" applyAlignment="1">
      <alignment horizontal="right" vertical="center"/>
    </xf>
    <xf numFmtId="0" fontId="3" fillId="0" borderId="0" xfId="0" applyFont="1">
      <alignment vertical="center"/>
    </xf>
    <xf numFmtId="0" fontId="3" fillId="0" borderId="94" xfId="0" applyFont="1" applyBorder="1" applyAlignment="1">
      <alignment horizontal="left" vertical="center"/>
    </xf>
    <xf numFmtId="0" fontId="29" fillId="0" borderId="94"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9" fillId="0" borderId="94" xfId="0" applyFont="1" applyBorder="1">
      <alignment vertical="center"/>
    </xf>
    <xf numFmtId="0" fontId="3" fillId="0" borderId="94" xfId="0" applyFont="1" applyBorder="1">
      <alignment vertical="center"/>
    </xf>
    <xf numFmtId="0" fontId="0" fillId="0" borderId="94" xfId="0" applyBorder="1">
      <alignment vertical="center"/>
    </xf>
    <xf numFmtId="0" fontId="15" fillId="0" borderId="0" xfId="0" applyFont="1" applyAlignment="1">
      <alignment horizontal="distributed" vertical="center" wrapText="1"/>
    </xf>
    <xf numFmtId="0" fontId="15" fillId="0" borderId="0" xfId="0" applyFont="1" applyAlignment="1">
      <alignment horizontal="center" vertical="center"/>
    </xf>
    <xf numFmtId="0" fontId="15" fillId="0" borderId="8" xfId="0" applyFont="1" applyBorder="1" applyAlignment="1">
      <alignment horizontal="center" vertical="center" wrapText="1"/>
    </xf>
    <xf numFmtId="0" fontId="17" fillId="0" borderId="5" xfId="0" applyFont="1" applyBorder="1" applyAlignment="1">
      <alignment horizontal="center" vertical="center"/>
    </xf>
    <xf numFmtId="0" fontId="17" fillId="0" borderId="32" xfId="0" applyFont="1" applyBorder="1" applyAlignment="1">
      <alignment horizontal="center" vertical="center"/>
    </xf>
    <xf numFmtId="0" fontId="17" fillId="0" borderId="8" xfId="0" applyFont="1" applyBorder="1" applyAlignment="1">
      <alignment horizontal="center" vertical="center" wrapText="1"/>
    </xf>
    <xf numFmtId="0" fontId="17" fillId="0" borderId="5" xfId="0" applyFont="1" applyBorder="1" applyAlignment="1">
      <alignment horizontal="centerContinuous" vertical="center"/>
    </xf>
    <xf numFmtId="0" fontId="17" fillId="0" borderId="32" xfId="0" applyFont="1" applyBorder="1" applyAlignment="1">
      <alignment horizontal="centerContinuous" vertical="center"/>
    </xf>
    <xf numFmtId="0" fontId="17" fillId="0" borderId="34" xfId="0" applyFont="1" applyBorder="1" applyAlignment="1">
      <alignment horizontal="centerContinuous" vertical="center"/>
    </xf>
    <xf numFmtId="0" fontId="17" fillId="0" borderId="0" xfId="0" applyFont="1" applyAlignment="1">
      <alignment horizontal="center" vertical="center" wrapText="1"/>
    </xf>
    <xf numFmtId="0" fontId="17" fillId="0" borderId="89" xfId="0" applyFont="1" applyBorder="1">
      <alignment vertical="center"/>
    </xf>
    <xf numFmtId="0" fontId="15" fillId="0" borderId="90" xfId="0" applyFont="1" applyBorder="1">
      <alignment vertical="center"/>
    </xf>
    <xf numFmtId="0" fontId="15" fillId="0" borderId="8" xfId="0" applyFont="1" applyBorder="1">
      <alignment vertical="center"/>
    </xf>
    <xf numFmtId="0" fontId="15" fillId="0" borderId="44" xfId="0" applyFont="1" applyBorder="1" applyAlignment="1">
      <alignment vertical="center" shrinkToFit="1"/>
    </xf>
    <xf numFmtId="0" fontId="15" fillId="0" borderId="53" xfId="0" applyFont="1" applyBorder="1" applyAlignment="1">
      <alignment vertical="top"/>
    </xf>
    <xf numFmtId="0" fontId="15" fillId="0" borderId="44" xfId="0" applyFont="1" applyBorder="1">
      <alignment vertical="center"/>
    </xf>
    <xf numFmtId="0" fontId="15" fillId="2" borderId="44" xfId="0" applyFont="1" applyFill="1" applyBorder="1">
      <alignment vertical="center"/>
    </xf>
    <xf numFmtId="0" fontId="0" fillId="0" borderId="0" xfId="0" applyAlignment="1">
      <alignment horizontal="center" vertical="center"/>
    </xf>
    <xf numFmtId="0" fontId="0" fillId="0" borderId="8" xfId="0" applyBorder="1" applyAlignment="1">
      <alignment horizontal="center" vertical="center" wrapText="1"/>
    </xf>
    <xf numFmtId="0" fontId="17" fillId="0" borderId="55" xfId="0" applyFont="1" applyBorder="1" applyAlignment="1">
      <alignment horizontal="centerContinuous" vertical="center"/>
    </xf>
    <xf numFmtId="0" fontId="17" fillId="0" borderId="50" xfId="0" applyFont="1" applyBorder="1" applyAlignment="1">
      <alignment horizontal="centerContinuous" vertical="center"/>
    </xf>
    <xf numFmtId="0" fontId="17" fillId="0" borderId="43" xfId="0" applyFont="1" applyBorder="1" applyAlignment="1">
      <alignment horizontal="centerContinuous" vertical="center"/>
    </xf>
    <xf numFmtId="0" fontId="17" fillId="0" borderId="53" xfId="0" applyFont="1" applyBorder="1">
      <alignment vertical="center"/>
    </xf>
    <xf numFmtId="0" fontId="17" fillId="0" borderId="42" xfId="0" applyFont="1" applyBorder="1">
      <alignment vertical="center"/>
    </xf>
    <xf numFmtId="0" fontId="17" fillId="0" borderId="59" xfId="0" applyFont="1" applyBorder="1" applyAlignment="1">
      <alignment horizontal="center" vertical="center"/>
    </xf>
    <xf numFmtId="0" fontId="0" fillId="0" borderId="0" xfId="0" applyAlignment="1">
      <alignment horizontal="center" vertical="center" wrapText="1"/>
    </xf>
    <xf numFmtId="184" fontId="17" fillId="0" borderId="44" xfId="0" applyNumberFormat="1" applyFont="1" applyBorder="1">
      <alignment vertical="center"/>
    </xf>
    <xf numFmtId="0" fontId="15" fillId="0" borderId="8" xfId="0" applyFont="1" applyBorder="1" applyAlignment="1">
      <alignment horizontal="center" vertical="center"/>
    </xf>
    <xf numFmtId="0" fontId="15" fillId="0" borderId="58" xfId="0" applyFont="1" applyBorder="1" applyAlignment="1">
      <alignment vertical="top"/>
    </xf>
    <xf numFmtId="0" fontId="17" fillId="0" borderId="57" xfId="0" applyFont="1" applyBorder="1">
      <alignment vertical="center"/>
    </xf>
    <xf numFmtId="0" fontId="17" fillId="0" borderId="46" xfId="0" applyFont="1" applyBorder="1" applyAlignment="1">
      <alignment horizontal="center" vertical="center"/>
    </xf>
    <xf numFmtId="0" fontId="17" fillId="0" borderId="58" xfId="0" applyFont="1" applyBorder="1">
      <alignment vertical="center"/>
    </xf>
    <xf numFmtId="0" fontId="17" fillId="0" borderId="53" xfId="0" applyFont="1" applyBorder="1" applyAlignment="1">
      <alignment horizontal="center" vertical="center"/>
    </xf>
    <xf numFmtId="0" fontId="17" fillId="0" borderId="43" xfId="0" applyFont="1" applyBorder="1" applyAlignment="1">
      <alignment horizontal="center" vertical="center" shrinkToFit="1"/>
    </xf>
    <xf numFmtId="0" fontId="17" fillId="0" borderId="92" xfId="0" applyFont="1" applyBorder="1" applyAlignment="1">
      <alignment horizontal="center" vertical="center" shrinkToFit="1"/>
    </xf>
    <xf numFmtId="0" fontId="17" fillId="0" borderId="42" xfId="0" applyFont="1" applyBorder="1" applyAlignment="1">
      <alignment horizontal="center" vertical="center"/>
    </xf>
    <xf numFmtId="0" fontId="17" fillId="0" borderId="52" xfId="0" applyFont="1" applyBorder="1" applyAlignment="1">
      <alignment horizontal="center" vertical="center" shrinkToFit="1"/>
    </xf>
    <xf numFmtId="0" fontId="15" fillId="0" borderId="63" xfId="0" applyFont="1" applyBorder="1" applyAlignment="1">
      <alignment horizontal="right" vertical="center"/>
    </xf>
    <xf numFmtId="0" fontId="15" fillId="0" borderId="65" xfId="0" applyFont="1" applyBorder="1" applyAlignment="1">
      <alignment horizontal="right" vertical="center"/>
    </xf>
    <xf numFmtId="0" fontId="15" fillId="0" borderId="66" xfId="0" applyFont="1" applyBorder="1" applyAlignment="1">
      <alignment horizontal="right" vertical="center"/>
    </xf>
    <xf numFmtId="0" fontId="15" fillId="0" borderId="7" xfId="0" applyFont="1" applyBorder="1" applyAlignment="1">
      <alignment horizontal="right" vertical="center"/>
    </xf>
    <xf numFmtId="0" fontId="15" fillId="0" borderId="67" xfId="0" applyFont="1" applyBorder="1" applyAlignment="1">
      <alignment horizontal="right" vertical="center"/>
    </xf>
    <xf numFmtId="0" fontId="15" fillId="0" borderId="72" xfId="0" applyFont="1" applyBorder="1" applyAlignment="1">
      <alignment horizontal="right" vertical="center"/>
    </xf>
    <xf numFmtId="0" fontId="15" fillId="2" borderId="63" xfId="0" applyFont="1" applyFill="1" applyBorder="1" applyAlignment="1">
      <alignment horizontal="right" vertical="center"/>
    </xf>
    <xf numFmtId="0" fontId="15" fillId="2" borderId="65" xfId="0" applyFont="1" applyFill="1" applyBorder="1" applyAlignment="1">
      <alignment horizontal="right" vertical="center"/>
    </xf>
    <xf numFmtId="0" fontId="15" fillId="2" borderId="67" xfId="0" applyFont="1" applyFill="1" applyBorder="1" applyAlignment="1">
      <alignment horizontal="right" vertical="center"/>
    </xf>
    <xf numFmtId="0" fontId="15" fillId="0" borderId="8" xfId="0" applyFont="1" applyBorder="1" applyAlignment="1">
      <alignment horizontal="right" vertical="center"/>
    </xf>
    <xf numFmtId="0" fontId="18" fillId="0" borderId="8" xfId="0" applyFont="1" applyBorder="1" applyAlignment="1">
      <alignment horizontal="right" vertical="center"/>
    </xf>
    <xf numFmtId="0" fontId="18" fillId="0" borderId="97" xfId="0" applyFont="1" applyBorder="1" applyAlignment="1">
      <alignment horizontal="right" vertical="center"/>
    </xf>
    <xf numFmtId="0" fontId="18" fillId="0" borderId="98" xfId="0" applyFont="1" applyBorder="1" applyAlignment="1">
      <alignment horizontal="right" vertical="center"/>
    </xf>
    <xf numFmtId="0" fontId="18" fillId="0" borderId="0" xfId="0" applyFont="1" applyAlignment="1">
      <alignment horizontal="right" vertical="center"/>
    </xf>
    <xf numFmtId="184" fontId="18" fillId="0" borderId="65" xfId="0" applyNumberFormat="1" applyFont="1" applyBorder="1" applyAlignment="1">
      <alignment horizontal="right" vertical="center"/>
    </xf>
    <xf numFmtId="185" fontId="18" fillId="0" borderId="64" xfId="0" applyNumberFormat="1" applyFont="1" applyBorder="1" applyAlignment="1">
      <alignment horizontal="right" vertical="center"/>
    </xf>
    <xf numFmtId="0" fontId="18" fillId="0" borderId="99" xfId="0" applyFont="1" applyBorder="1" applyAlignment="1">
      <alignment horizontal="right" vertical="center"/>
    </xf>
    <xf numFmtId="0" fontId="17" fillId="5" borderId="7" xfId="0" applyFont="1" applyFill="1" applyBorder="1" applyAlignment="1">
      <alignment horizontal="center" vertical="center"/>
    </xf>
    <xf numFmtId="176" fontId="20" fillId="0" borderId="7" xfId="0" applyNumberFormat="1" applyFont="1" applyBorder="1" applyAlignment="1">
      <alignment horizontal="right" vertical="center"/>
    </xf>
    <xf numFmtId="176" fontId="20" fillId="3" borderId="53" xfId="0" applyNumberFormat="1" applyFont="1" applyFill="1" applyBorder="1" applyAlignment="1">
      <alignment horizontal="right" vertical="center"/>
    </xf>
    <xf numFmtId="176" fontId="20" fillId="3" borderId="38" xfId="0" applyNumberFormat="1" applyFont="1" applyFill="1" applyBorder="1" applyAlignment="1">
      <alignment horizontal="right" vertical="center"/>
    </xf>
    <xf numFmtId="176" fontId="20" fillId="3" borderId="0" xfId="0" applyNumberFormat="1" applyFont="1" applyFill="1" applyAlignment="1">
      <alignment horizontal="right" vertical="center"/>
    </xf>
    <xf numFmtId="176" fontId="20" fillId="3" borderId="5" xfId="0" applyNumberFormat="1" applyFont="1" applyFill="1" applyBorder="1" applyAlignment="1">
      <alignment horizontal="right" vertical="center"/>
    </xf>
    <xf numFmtId="176" fontId="20" fillId="3" borderId="44" xfId="0" applyNumberFormat="1" applyFont="1" applyFill="1" applyBorder="1" applyAlignment="1">
      <alignment horizontal="right" vertical="center"/>
    </xf>
    <xf numFmtId="176" fontId="20" fillId="0" borderId="0" xfId="0" applyNumberFormat="1" applyFont="1" applyAlignment="1">
      <alignment horizontal="right" vertical="center"/>
    </xf>
    <xf numFmtId="177" fontId="20" fillId="3" borderId="53" xfId="0" applyNumberFormat="1" applyFont="1" applyFill="1" applyBorder="1" applyAlignment="1">
      <alignment horizontal="right" vertical="center"/>
    </xf>
    <xf numFmtId="176" fontId="20" fillId="0" borderId="8" xfId="0" applyNumberFormat="1" applyFont="1" applyBorder="1" applyAlignment="1">
      <alignment horizontal="right" vertical="center"/>
    </xf>
    <xf numFmtId="177" fontId="20" fillId="3" borderId="90" xfId="0" applyNumberFormat="1" applyFont="1" applyFill="1" applyBorder="1" applyAlignment="1" applyProtection="1">
      <alignment horizontal="right" vertical="center"/>
      <protection locked="0"/>
    </xf>
    <xf numFmtId="177" fontId="20" fillId="0" borderId="8" xfId="0" applyNumberFormat="1" applyFont="1" applyBorder="1" applyAlignment="1" applyProtection="1">
      <alignment horizontal="right" vertical="center"/>
      <protection locked="0"/>
    </xf>
    <xf numFmtId="186" fontId="20" fillId="5" borderId="0" xfId="0" applyNumberFormat="1" applyFont="1" applyFill="1" applyAlignment="1" applyProtection="1">
      <alignment horizontal="right" vertical="center"/>
      <protection locked="0"/>
    </xf>
    <xf numFmtId="176" fontId="20" fillId="3" borderId="44" xfId="0" applyNumberFormat="1" applyFont="1" applyFill="1" applyBorder="1" applyAlignment="1" applyProtection="1">
      <alignment horizontal="right" vertical="center"/>
      <protection locked="0"/>
    </xf>
    <xf numFmtId="182" fontId="20" fillId="3" borderId="44" xfId="0" applyNumberFormat="1" applyFont="1" applyFill="1" applyBorder="1" applyAlignment="1" applyProtection="1">
      <alignment horizontal="right" vertical="center"/>
      <protection locked="0"/>
    </xf>
    <xf numFmtId="176" fontId="20" fillId="3" borderId="38" xfId="0" applyNumberFormat="1" applyFont="1" applyFill="1" applyBorder="1" applyAlignment="1" applyProtection="1">
      <alignment horizontal="right" vertical="center"/>
      <protection locked="0"/>
    </xf>
    <xf numFmtId="182" fontId="20" fillId="3" borderId="53" xfId="0" applyNumberFormat="1" applyFont="1" applyFill="1" applyBorder="1" applyAlignment="1" applyProtection="1">
      <alignment horizontal="right" vertical="center"/>
      <protection locked="0"/>
    </xf>
    <xf numFmtId="176" fontId="20" fillId="3" borderId="47" xfId="0" applyNumberFormat="1" applyFont="1" applyFill="1" applyBorder="1" applyAlignment="1" applyProtection="1">
      <alignment horizontal="right" vertical="center"/>
      <protection locked="0"/>
    </xf>
    <xf numFmtId="176" fontId="20" fillId="3" borderId="39" xfId="0" applyNumberFormat="1" applyFont="1" applyFill="1" applyBorder="1" applyAlignment="1" applyProtection="1">
      <alignment horizontal="right" vertical="center"/>
      <protection locked="0"/>
    </xf>
    <xf numFmtId="176" fontId="20" fillId="3" borderId="0" xfId="0" applyNumberFormat="1" applyFont="1" applyFill="1" applyAlignment="1" applyProtection="1">
      <alignment horizontal="right" vertical="center"/>
      <protection locked="0"/>
    </xf>
    <xf numFmtId="176" fontId="20" fillId="0" borderId="0" xfId="0" applyNumberFormat="1" applyFont="1" applyAlignment="1" applyProtection="1">
      <alignment horizontal="right" vertical="center"/>
      <protection locked="0"/>
    </xf>
    <xf numFmtId="38" fontId="20" fillId="3" borderId="53" xfId="0" applyNumberFormat="1" applyFont="1" applyFill="1" applyBorder="1" applyAlignment="1" applyProtection="1">
      <alignment horizontal="right" vertical="center"/>
      <protection locked="0"/>
    </xf>
    <xf numFmtId="185" fontId="20" fillId="3" borderId="73" xfId="0" applyNumberFormat="1" applyFont="1" applyFill="1" applyBorder="1" applyAlignment="1" applyProtection="1">
      <alignment horizontal="right" vertical="center"/>
      <protection locked="0"/>
    </xf>
    <xf numFmtId="176" fontId="20" fillId="3" borderId="4" xfId="0" applyNumberFormat="1" applyFont="1" applyFill="1" applyBorder="1" applyAlignment="1" applyProtection="1">
      <alignment horizontal="right" vertical="center"/>
      <protection locked="0"/>
    </xf>
    <xf numFmtId="0" fontId="17" fillId="0" borderId="7" xfId="0" applyFont="1" applyBorder="1" applyAlignment="1">
      <alignment horizontal="center" vertical="center"/>
    </xf>
    <xf numFmtId="176" fontId="20" fillId="2" borderId="53" xfId="0" applyNumberFormat="1" applyFont="1" applyFill="1" applyBorder="1" applyAlignment="1">
      <alignment horizontal="right" vertical="center"/>
    </xf>
    <xf numFmtId="176" fontId="20" fillId="2" borderId="44" xfId="0" applyNumberFormat="1" applyFont="1" applyFill="1" applyBorder="1" applyAlignment="1">
      <alignment horizontal="right" vertical="center"/>
    </xf>
    <xf numFmtId="176" fontId="20" fillId="2" borderId="8" xfId="0" applyNumberFormat="1" applyFont="1" applyFill="1" applyBorder="1" applyAlignment="1">
      <alignment horizontal="right" vertical="center"/>
    </xf>
    <xf numFmtId="177" fontId="20" fillId="2" borderId="53" xfId="0" applyNumberFormat="1" applyFont="1" applyFill="1" applyBorder="1" applyAlignment="1">
      <alignment horizontal="right" vertical="center"/>
    </xf>
    <xf numFmtId="177" fontId="20" fillId="2" borderId="56" xfId="0" applyNumberFormat="1" applyFont="1" applyFill="1" applyBorder="1" applyAlignment="1" applyProtection="1">
      <alignment horizontal="right" vertical="center"/>
      <protection locked="0"/>
    </xf>
    <xf numFmtId="186" fontId="20" fillId="2" borderId="0" xfId="0" applyNumberFormat="1" applyFont="1" applyFill="1" applyAlignment="1" applyProtection="1">
      <alignment horizontal="right" vertical="center"/>
      <protection locked="0"/>
    </xf>
    <xf numFmtId="176" fontId="20" fillId="2" borderId="44" xfId="0" applyNumberFormat="1" applyFont="1" applyFill="1" applyBorder="1" applyAlignment="1" applyProtection="1">
      <alignment horizontal="right" vertical="center"/>
      <protection locked="0"/>
    </xf>
    <xf numFmtId="182" fontId="20" fillId="2" borderId="44" xfId="0" applyNumberFormat="1" applyFont="1" applyFill="1" applyBorder="1" applyAlignment="1" applyProtection="1">
      <alignment horizontal="right" vertical="center"/>
      <protection locked="0"/>
    </xf>
    <xf numFmtId="182" fontId="20" fillId="2" borderId="53" xfId="0" applyNumberFormat="1" applyFont="1" applyFill="1" applyBorder="1" applyAlignment="1" applyProtection="1">
      <alignment horizontal="right" vertical="center"/>
      <protection locked="0"/>
    </xf>
    <xf numFmtId="176" fontId="20" fillId="2" borderId="47" xfId="0" applyNumberFormat="1" applyFont="1" applyFill="1" applyBorder="1" applyAlignment="1" applyProtection="1">
      <alignment horizontal="right" vertical="center"/>
      <protection locked="0"/>
    </xf>
    <xf numFmtId="176" fontId="20" fillId="2" borderId="0" xfId="0" applyNumberFormat="1" applyFont="1" applyFill="1" applyAlignment="1" applyProtection="1">
      <alignment horizontal="right" vertical="center"/>
      <protection locked="0"/>
    </xf>
    <xf numFmtId="38" fontId="20" fillId="2" borderId="53" xfId="0" applyNumberFormat="1" applyFont="1" applyFill="1" applyBorder="1" applyAlignment="1" applyProtection="1">
      <alignment horizontal="right" vertical="center"/>
      <protection locked="0"/>
    </xf>
    <xf numFmtId="185" fontId="20" fillId="2" borderId="51" xfId="0" applyNumberFormat="1" applyFont="1" applyFill="1" applyBorder="1" applyAlignment="1" applyProtection="1">
      <alignment horizontal="right" vertical="center"/>
      <protection locked="0"/>
    </xf>
    <xf numFmtId="176" fontId="20" fillId="2" borderId="7" xfId="0" applyNumberFormat="1" applyFont="1" applyFill="1" applyBorder="1" applyAlignment="1" applyProtection="1">
      <alignment horizontal="right" vertical="center"/>
      <protection locked="0"/>
    </xf>
    <xf numFmtId="176" fontId="20" fillId="3" borderId="8" xfId="0" applyNumberFormat="1" applyFont="1" applyFill="1" applyBorder="1" applyAlignment="1">
      <alignment horizontal="right" vertical="center"/>
    </xf>
    <xf numFmtId="177" fontId="20" fillId="3" borderId="56" xfId="0" applyNumberFormat="1" applyFont="1" applyFill="1" applyBorder="1" applyAlignment="1" applyProtection="1">
      <alignment horizontal="right" vertical="center"/>
      <protection locked="0"/>
    </xf>
    <xf numFmtId="185" fontId="20" fillId="3" borderId="51" xfId="0" applyNumberFormat="1" applyFont="1" applyFill="1" applyBorder="1" applyAlignment="1" applyProtection="1">
      <alignment horizontal="right" vertical="center"/>
      <protection locked="0"/>
    </xf>
    <xf numFmtId="176" fontId="20" fillId="3" borderId="7" xfId="0" applyNumberFormat="1" applyFont="1" applyFill="1" applyBorder="1" applyAlignment="1" applyProtection="1">
      <alignment horizontal="right" vertical="center"/>
      <protection locked="0"/>
    </xf>
    <xf numFmtId="176" fontId="20" fillId="0" borderId="53" xfId="0" applyNumberFormat="1" applyFont="1" applyBorder="1" applyAlignment="1">
      <alignment horizontal="right" vertical="center"/>
    </xf>
    <xf numFmtId="186" fontId="20" fillId="0" borderId="0" xfId="0" applyNumberFormat="1" applyFont="1" applyAlignment="1" applyProtection="1">
      <alignment horizontal="right" vertical="center"/>
      <protection locked="0"/>
    </xf>
    <xf numFmtId="182" fontId="20" fillId="0" borderId="44" xfId="0" applyNumberFormat="1" applyFont="1" applyBorder="1" applyAlignment="1" applyProtection="1">
      <alignment horizontal="right" vertical="center"/>
      <protection locked="0"/>
    </xf>
    <xf numFmtId="182" fontId="20" fillId="0" borderId="53" xfId="0" applyNumberFormat="1" applyFont="1" applyBorder="1" applyAlignment="1" applyProtection="1">
      <alignment horizontal="right" vertical="center"/>
      <protection locked="0"/>
    </xf>
    <xf numFmtId="185" fontId="20" fillId="0" borderId="51" xfId="0" applyNumberFormat="1" applyFont="1" applyBorder="1" applyAlignment="1" applyProtection="1">
      <alignment horizontal="right" vertical="center"/>
      <protection locked="0"/>
    </xf>
    <xf numFmtId="176" fontId="20" fillId="0" borderId="7" xfId="0" applyNumberFormat="1" applyFont="1" applyBorder="1" applyAlignment="1" applyProtection="1">
      <alignment horizontal="right" vertical="center"/>
      <protection locked="0"/>
    </xf>
    <xf numFmtId="176" fontId="20" fillId="4" borderId="53" xfId="0" applyNumberFormat="1" applyFont="1" applyFill="1" applyBorder="1" applyAlignment="1">
      <alignment horizontal="right" vertical="center"/>
    </xf>
    <xf numFmtId="176" fontId="20" fillId="4" borderId="44" xfId="0" applyNumberFormat="1" applyFont="1" applyFill="1" applyBorder="1" applyAlignment="1">
      <alignment horizontal="right" vertical="center"/>
    </xf>
    <xf numFmtId="176" fontId="20" fillId="4" borderId="47" xfId="0" applyNumberFormat="1" applyFont="1" applyFill="1" applyBorder="1" applyAlignment="1">
      <alignment horizontal="right" vertical="center"/>
    </xf>
    <xf numFmtId="176" fontId="20" fillId="4" borderId="8" xfId="0" applyNumberFormat="1" applyFont="1" applyFill="1" applyBorder="1" applyAlignment="1">
      <alignment horizontal="right" vertical="center"/>
    </xf>
    <xf numFmtId="177" fontId="20" fillId="4" borderId="56" xfId="0" applyNumberFormat="1" applyFont="1" applyFill="1" applyBorder="1" applyAlignment="1" applyProtection="1">
      <alignment horizontal="right" vertical="center"/>
      <protection locked="0"/>
    </xf>
    <xf numFmtId="186" fontId="20" fillId="4" borderId="0" xfId="0" applyNumberFormat="1" applyFont="1" applyFill="1" applyAlignment="1" applyProtection="1">
      <alignment horizontal="right" vertical="center"/>
      <protection locked="0"/>
    </xf>
    <xf numFmtId="182" fontId="20" fillId="4" borderId="44" xfId="0" applyNumberFormat="1" applyFont="1" applyFill="1" applyBorder="1" applyAlignment="1" applyProtection="1">
      <alignment horizontal="right" vertical="center"/>
      <protection locked="0"/>
    </xf>
    <xf numFmtId="182" fontId="20" fillId="4" borderId="53" xfId="0" applyNumberFormat="1" applyFont="1" applyFill="1" applyBorder="1" applyAlignment="1" applyProtection="1">
      <alignment horizontal="right" vertical="center"/>
      <protection locked="0"/>
    </xf>
    <xf numFmtId="176" fontId="20" fillId="4" borderId="47" xfId="0" applyNumberFormat="1" applyFont="1" applyFill="1" applyBorder="1" applyAlignment="1" applyProtection="1">
      <alignment horizontal="right" vertical="center"/>
      <protection locked="0"/>
    </xf>
    <xf numFmtId="176" fontId="20" fillId="4" borderId="0" xfId="0" applyNumberFormat="1" applyFont="1" applyFill="1" applyAlignment="1" applyProtection="1">
      <alignment horizontal="right" vertical="center"/>
      <protection locked="0"/>
    </xf>
    <xf numFmtId="38" fontId="20" fillId="4" borderId="53" xfId="0" applyNumberFormat="1" applyFont="1" applyFill="1" applyBorder="1" applyAlignment="1" applyProtection="1">
      <alignment horizontal="right" vertical="center"/>
      <protection locked="0"/>
    </xf>
    <xf numFmtId="185" fontId="20" fillId="4" borderId="51" xfId="0" applyNumberFormat="1" applyFont="1" applyFill="1" applyBorder="1" applyAlignment="1" applyProtection="1">
      <alignment horizontal="right" vertical="center"/>
      <protection locked="0"/>
    </xf>
    <xf numFmtId="176" fontId="20" fillId="5" borderId="53" xfId="0" applyNumberFormat="1" applyFont="1" applyFill="1" applyBorder="1" applyAlignment="1">
      <alignment horizontal="right" vertical="center"/>
    </xf>
    <xf numFmtId="176" fontId="20" fillId="5" borderId="44" xfId="0" applyNumberFormat="1" applyFont="1" applyFill="1" applyBorder="1" applyAlignment="1">
      <alignment horizontal="right" vertical="center"/>
    </xf>
    <xf numFmtId="176" fontId="20" fillId="5" borderId="8" xfId="0" applyNumberFormat="1" applyFont="1" applyFill="1" applyBorder="1" applyAlignment="1">
      <alignment horizontal="right" vertical="center"/>
    </xf>
    <xf numFmtId="177" fontId="20" fillId="5" borderId="56" xfId="0" applyNumberFormat="1" applyFont="1" applyFill="1" applyBorder="1" applyAlignment="1" applyProtection="1">
      <alignment horizontal="right" vertical="center"/>
      <protection locked="0"/>
    </xf>
    <xf numFmtId="182" fontId="20" fillId="5" borderId="44" xfId="0" applyNumberFormat="1" applyFont="1" applyFill="1" applyBorder="1" applyAlignment="1" applyProtection="1">
      <alignment horizontal="right" vertical="center"/>
      <protection locked="0"/>
    </xf>
    <xf numFmtId="182" fontId="20" fillId="5" borderId="53" xfId="0" applyNumberFormat="1" applyFont="1" applyFill="1" applyBorder="1" applyAlignment="1" applyProtection="1">
      <alignment horizontal="right" vertical="center"/>
      <protection locked="0"/>
    </xf>
    <xf numFmtId="176" fontId="20" fillId="5" borderId="0" xfId="0" applyNumberFormat="1" applyFont="1" applyFill="1" applyAlignment="1" applyProtection="1">
      <alignment horizontal="right" vertical="center"/>
      <protection locked="0"/>
    </xf>
    <xf numFmtId="38" fontId="20" fillId="5" borderId="53" xfId="0" applyNumberFormat="1" applyFont="1" applyFill="1" applyBorder="1" applyAlignment="1" applyProtection="1">
      <alignment horizontal="right" vertical="center"/>
      <protection locked="0"/>
    </xf>
    <xf numFmtId="185" fontId="20" fillId="5" borderId="51" xfId="0" applyNumberFormat="1" applyFont="1" applyFill="1" applyBorder="1" applyAlignment="1" applyProtection="1">
      <alignment horizontal="right" vertical="center"/>
      <protection locked="0"/>
    </xf>
    <xf numFmtId="176" fontId="20" fillId="5" borderId="7" xfId="0" applyNumberFormat="1" applyFont="1" applyFill="1" applyBorder="1" applyAlignment="1" applyProtection="1">
      <alignment horizontal="right" vertical="center"/>
      <protection locked="0"/>
    </xf>
    <xf numFmtId="0" fontId="0" fillId="5" borderId="0" xfId="0" applyFill="1">
      <alignment vertical="center"/>
    </xf>
    <xf numFmtId="176" fontId="20" fillId="0" borderId="44" xfId="0" applyNumberFormat="1" applyFont="1" applyBorder="1" applyAlignment="1">
      <alignment horizontal="right" vertical="center"/>
    </xf>
    <xf numFmtId="177" fontId="20" fillId="0" borderId="56" xfId="0" applyNumberFormat="1" applyFont="1" applyBorder="1" applyAlignment="1" applyProtection="1">
      <alignment horizontal="right" vertical="center"/>
      <protection locked="0"/>
    </xf>
    <xf numFmtId="38" fontId="20" fillId="0" borderId="53" xfId="0" applyNumberFormat="1" applyFont="1" applyBorder="1" applyAlignment="1" applyProtection="1">
      <alignment horizontal="right" vertical="center"/>
      <protection locked="0"/>
    </xf>
    <xf numFmtId="49" fontId="20" fillId="5" borderId="51" xfId="0" applyNumberFormat="1" applyFont="1" applyFill="1" applyBorder="1" applyAlignment="1" applyProtection="1">
      <alignment horizontal="right" vertical="center"/>
      <protection locked="0"/>
    </xf>
    <xf numFmtId="38" fontId="20" fillId="5" borderId="47" xfId="1" applyFont="1" applyFill="1" applyBorder="1" applyAlignment="1" applyProtection="1">
      <alignment horizontal="right" vertical="center"/>
      <protection locked="0"/>
    </xf>
    <xf numFmtId="176" fontId="20" fillId="3" borderId="47" xfId="0" quotePrefix="1" applyNumberFormat="1" applyFont="1" applyFill="1" applyBorder="1" applyAlignment="1">
      <alignment horizontal="right" vertical="center"/>
    </xf>
    <xf numFmtId="176" fontId="20" fillId="0" borderId="0" xfId="0" quotePrefix="1" applyNumberFormat="1" applyFont="1" applyAlignment="1">
      <alignment horizontal="right" vertical="center"/>
    </xf>
    <xf numFmtId="176" fontId="20" fillId="3" borderId="53" xfId="0" quotePrefix="1" applyNumberFormat="1" applyFont="1" applyFill="1" applyBorder="1" applyAlignment="1" applyProtection="1">
      <alignment horizontal="right" vertical="center"/>
      <protection locked="0"/>
    </xf>
    <xf numFmtId="176" fontId="20" fillId="3" borderId="44" xfId="0" quotePrefix="1" applyNumberFormat="1" applyFont="1" applyFill="1" applyBorder="1" applyAlignment="1" applyProtection="1">
      <alignment horizontal="right" vertical="center"/>
      <protection locked="0"/>
    </xf>
    <xf numFmtId="176" fontId="20" fillId="3" borderId="47" xfId="0" quotePrefix="1" applyNumberFormat="1" applyFont="1" applyFill="1" applyBorder="1" applyAlignment="1" applyProtection="1">
      <alignment horizontal="right" vertical="center"/>
      <protection locked="0"/>
    </xf>
    <xf numFmtId="176" fontId="20" fillId="2" borderId="8" xfId="0" applyNumberFormat="1" applyFont="1" applyFill="1" applyBorder="1" applyAlignment="1" applyProtection="1">
      <alignment horizontal="right" vertical="center" wrapText="1"/>
      <protection locked="0"/>
    </xf>
    <xf numFmtId="176" fontId="20" fillId="2" borderId="100" xfId="0" applyNumberFormat="1" applyFont="1" applyFill="1" applyBorder="1" applyAlignment="1" applyProtection="1">
      <alignment horizontal="right" vertical="center" wrapText="1"/>
      <protection locked="0"/>
    </xf>
    <xf numFmtId="176" fontId="20" fillId="2" borderId="101" xfId="0" applyNumberFormat="1" applyFont="1" applyFill="1" applyBorder="1" applyAlignment="1" applyProtection="1">
      <alignment horizontal="right" vertical="center" wrapText="1"/>
      <protection locked="0"/>
    </xf>
    <xf numFmtId="185" fontId="20" fillId="2" borderId="0" xfId="0" applyNumberFormat="1" applyFont="1" applyFill="1" applyAlignment="1" applyProtection="1">
      <alignment horizontal="right" vertical="center"/>
      <protection locked="0"/>
    </xf>
    <xf numFmtId="176" fontId="20" fillId="2" borderId="74" xfId="0" applyNumberFormat="1" applyFont="1" applyFill="1" applyBorder="1" applyAlignment="1" applyProtection="1">
      <alignment horizontal="right" vertical="center" wrapText="1"/>
      <protection locked="0"/>
    </xf>
    <xf numFmtId="176" fontId="20" fillId="2" borderId="102" xfId="0" applyNumberFormat="1" applyFont="1" applyFill="1" applyBorder="1" applyAlignment="1" applyProtection="1">
      <alignment horizontal="right" vertical="center" wrapText="1"/>
      <protection locked="0"/>
    </xf>
    <xf numFmtId="177" fontId="20" fillId="2" borderId="100" xfId="0" applyNumberFormat="1" applyFont="1" applyFill="1" applyBorder="1" applyAlignment="1" applyProtection="1">
      <alignment horizontal="right" vertical="center" wrapText="1"/>
      <protection locked="0"/>
    </xf>
    <xf numFmtId="177" fontId="20" fillId="2" borderId="0" xfId="0" applyNumberFormat="1" applyFont="1" applyFill="1" applyAlignment="1" applyProtection="1">
      <alignment horizontal="right" vertical="center" wrapText="1"/>
      <protection locked="0"/>
    </xf>
    <xf numFmtId="176" fontId="20" fillId="3" borderId="102" xfId="0" applyNumberFormat="1" applyFont="1" applyFill="1" applyBorder="1" applyAlignment="1">
      <alignment horizontal="right" vertical="center" wrapText="1"/>
    </xf>
    <xf numFmtId="176" fontId="20" fillId="3" borderId="100" xfId="0" applyNumberFormat="1" applyFont="1" applyFill="1" applyBorder="1" applyAlignment="1">
      <alignment horizontal="right" vertical="center" wrapText="1"/>
    </xf>
    <xf numFmtId="177" fontId="20" fillId="3" borderId="100" xfId="0" applyNumberFormat="1" applyFont="1" applyFill="1" applyBorder="1" applyAlignment="1">
      <alignment horizontal="right" vertical="center" wrapText="1"/>
    </xf>
    <xf numFmtId="176" fontId="20" fillId="3" borderId="56" xfId="0" applyNumberFormat="1" applyFont="1" applyFill="1" applyBorder="1" applyAlignment="1">
      <alignment horizontal="right" vertical="center"/>
    </xf>
    <xf numFmtId="180" fontId="20" fillId="3" borderId="56" xfId="0" applyNumberFormat="1" applyFont="1" applyFill="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181" fontId="20" fillId="2" borderId="53" xfId="1" applyNumberFormat="1" applyFont="1" applyFill="1" applyBorder="1" applyAlignment="1" applyProtection="1">
      <alignment horizontal="right" vertical="center"/>
      <protection locked="0"/>
    </xf>
    <xf numFmtId="181" fontId="20" fillId="2" borderId="56" xfId="1" applyNumberFormat="1" applyFont="1" applyFill="1" applyBorder="1" applyAlignment="1" applyProtection="1">
      <alignment horizontal="right" vertical="center"/>
      <protection locked="0"/>
    </xf>
    <xf numFmtId="181" fontId="20" fillId="0" borderId="8" xfId="1" applyNumberFormat="1" applyFont="1" applyFill="1" applyBorder="1" applyAlignment="1" applyProtection="1">
      <alignment horizontal="right" vertical="center"/>
      <protection locked="0"/>
    </xf>
    <xf numFmtId="0" fontId="20" fillId="2" borderId="47" xfId="0" applyFont="1" applyFill="1" applyBorder="1" applyAlignment="1">
      <alignment horizontal="right" vertical="center"/>
    </xf>
    <xf numFmtId="0" fontId="20" fillId="0" borderId="8" xfId="0" applyFont="1" applyBorder="1" applyAlignment="1">
      <alignment horizontal="right" vertical="center"/>
    </xf>
    <xf numFmtId="177" fontId="20" fillId="4" borderId="44" xfId="0" applyNumberFormat="1" applyFont="1" applyFill="1" applyBorder="1" applyAlignment="1" applyProtection="1">
      <alignment horizontal="right" vertical="center"/>
      <protection locked="0"/>
    </xf>
    <xf numFmtId="176" fontId="20" fillId="0" borderId="42" xfId="0" quotePrefix="1" applyNumberFormat="1" applyFont="1" applyBorder="1" applyAlignment="1" applyProtection="1">
      <alignment horizontal="right" vertical="center"/>
      <protection locked="0"/>
    </xf>
    <xf numFmtId="0" fontId="20" fillId="0" borderId="56" xfId="2" applyNumberFormat="1" applyFont="1" applyFill="1" applyBorder="1" applyAlignment="1" applyProtection="1">
      <alignment horizontal="right" vertical="center"/>
      <protection locked="0"/>
    </xf>
    <xf numFmtId="0" fontId="20" fillId="0" borderId="8" xfId="2" applyNumberFormat="1" applyFont="1" applyFill="1" applyBorder="1" applyAlignment="1" applyProtection="1">
      <alignment horizontal="right" vertical="center"/>
      <protection locked="0"/>
    </xf>
    <xf numFmtId="0" fontId="20" fillId="5" borderId="56" xfId="2" applyNumberFormat="1" applyFont="1" applyFill="1" applyBorder="1" applyAlignment="1" applyProtection="1">
      <alignment horizontal="right" vertical="center"/>
      <protection locked="0"/>
    </xf>
    <xf numFmtId="176" fontId="20" fillId="5" borderId="56" xfId="0" applyNumberFormat="1" applyFont="1" applyFill="1" applyBorder="1" applyAlignment="1">
      <alignment horizontal="right" vertical="center"/>
    </xf>
    <xf numFmtId="176" fontId="20" fillId="0" borderId="42" xfId="5" applyNumberFormat="1" applyFont="1" applyBorder="1" applyAlignment="1" applyProtection="1">
      <alignment horizontal="right" vertical="center"/>
      <protection locked="0"/>
    </xf>
    <xf numFmtId="176" fontId="20" fillId="0" borderId="44" xfId="5" applyNumberFormat="1" applyFont="1" applyBorder="1" applyAlignment="1" applyProtection="1">
      <alignment horizontal="right" vertical="center"/>
      <protection locked="0"/>
    </xf>
    <xf numFmtId="176" fontId="20" fillId="0" borderId="53" xfId="5" applyNumberFormat="1" applyFont="1" applyBorder="1" applyAlignment="1" applyProtection="1">
      <alignment horizontal="right" vertical="center"/>
      <protection locked="0"/>
    </xf>
    <xf numFmtId="176" fontId="20" fillId="0" borderId="47" xfId="5" applyNumberFormat="1" applyFont="1" applyBorder="1" applyAlignment="1" applyProtection="1">
      <alignment horizontal="right" vertical="center"/>
      <protection locked="0"/>
    </xf>
    <xf numFmtId="176" fontId="20" fillId="0" borderId="0" xfId="5" applyNumberFormat="1" applyFont="1" applyAlignment="1" applyProtection="1">
      <alignment horizontal="right" vertical="center"/>
      <protection locked="0"/>
    </xf>
    <xf numFmtId="176" fontId="20" fillId="5" borderId="42" xfId="5" applyNumberFormat="1" applyFont="1" applyFill="1" applyBorder="1" applyAlignment="1" applyProtection="1">
      <alignment horizontal="right" vertical="center"/>
      <protection locked="0"/>
    </xf>
    <xf numFmtId="186" fontId="20" fillId="5" borderId="0" xfId="5" applyNumberFormat="1" applyFont="1" applyFill="1" applyAlignment="1" applyProtection="1">
      <alignment horizontal="right" vertical="center"/>
      <protection locked="0"/>
    </xf>
    <xf numFmtId="176" fontId="20" fillId="5" borderId="44" xfId="5" applyNumberFormat="1" applyFont="1" applyFill="1" applyBorder="1" applyAlignment="1" applyProtection="1">
      <alignment horizontal="right" vertical="center"/>
      <protection locked="0"/>
    </xf>
    <xf numFmtId="182" fontId="20" fillId="5" borderId="44" xfId="5" applyNumberFormat="1" applyFont="1" applyFill="1" applyBorder="1" applyAlignment="1" applyProtection="1">
      <alignment horizontal="right" vertical="center"/>
      <protection locked="0"/>
    </xf>
    <xf numFmtId="176" fontId="20" fillId="5" borderId="53" xfId="5" applyNumberFormat="1" applyFont="1" applyFill="1" applyBorder="1" applyAlignment="1" applyProtection="1">
      <alignment horizontal="right" vertical="center"/>
      <protection locked="0"/>
    </xf>
    <xf numFmtId="182" fontId="20" fillId="5" borderId="53" xfId="5" applyNumberFormat="1" applyFont="1" applyFill="1" applyBorder="1" applyAlignment="1" applyProtection="1">
      <alignment horizontal="right" vertical="center"/>
      <protection locked="0"/>
    </xf>
    <xf numFmtId="176" fontId="20" fillId="5" borderId="47" xfId="5" applyNumberFormat="1" applyFont="1" applyFill="1" applyBorder="1" applyAlignment="1" applyProtection="1">
      <alignment horizontal="right" vertical="center"/>
      <protection locked="0"/>
    </xf>
    <xf numFmtId="176" fontId="20" fillId="5" borderId="0" xfId="5" applyNumberFormat="1" applyFont="1" applyFill="1" applyAlignment="1" applyProtection="1">
      <alignment horizontal="right" vertical="center"/>
      <protection locked="0"/>
    </xf>
    <xf numFmtId="176" fontId="20" fillId="0" borderId="44" xfId="0" applyNumberFormat="1" applyFont="1" applyBorder="1" applyAlignment="1" applyProtection="1">
      <alignment horizontal="right" vertical="center" wrapText="1"/>
      <protection locked="0"/>
    </xf>
    <xf numFmtId="176" fontId="20" fillId="5" borderId="8" xfId="0" applyNumberFormat="1" applyFont="1" applyFill="1" applyBorder="1" applyAlignment="1" applyProtection="1">
      <alignment horizontal="right" vertical="center"/>
      <protection locked="0"/>
    </xf>
    <xf numFmtId="186" fontId="20" fillId="5" borderId="53" xfId="0" applyNumberFormat="1" applyFont="1" applyFill="1" applyBorder="1" applyAlignment="1" applyProtection="1">
      <alignment horizontal="right" vertical="center"/>
      <protection locked="0"/>
    </xf>
    <xf numFmtId="182" fontId="20" fillId="5" borderId="51" xfId="0" applyNumberFormat="1" applyFont="1" applyFill="1" applyBorder="1" applyAlignment="1" applyProtection="1">
      <alignment horizontal="right" vertical="center"/>
      <protection locked="0"/>
    </xf>
    <xf numFmtId="186" fontId="20" fillId="0" borderId="53" xfId="0" applyNumberFormat="1" applyFont="1" applyBorder="1" applyAlignment="1" applyProtection="1">
      <alignment horizontal="right" vertical="center"/>
      <protection locked="0"/>
    </xf>
    <xf numFmtId="182" fontId="20" fillId="0" borderId="51" xfId="0" applyNumberFormat="1" applyFont="1" applyBorder="1" applyAlignment="1" applyProtection="1">
      <alignment horizontal="right" vertical="center"/>
      <protection locked="0"/>
    </xf>
    <xf numFmtId="176" fontId="20" fillId="0" borderId="103" xfId="0" applyNumberFormat="1" applyFont="1" applyBorder="1" applyAlignment="1" applyProtection="1">
      <alignment horizontal="right" vertical="center"/>
      <protection locked="0"/>
    </xf>
    <xf numFmtId="176" fontId="20" fillId="0" borderId="104" xfId="0" applyNumberFormat="1" applyFont="1" applyBorder="1" applyAlignment="1" applyProtection="1">
      <alignment horizontal="right" vertical="center"/>
      <protection locked="0"/>
    </xf>
    <xf numFmtId="185" fontId="20" fillId="5" borderId="0" xfId="0" applyNumberFormat="1" applyFont="1" applyFill="1" applyAlignment="1" applyProtection="1">
      <alignment horizontal="right" vertical="center"/>
      <protection locked="0"/>
    </xf>
    <xf numFmtId="176" fontId="20" fillId="0" borderId="51" xfId="0" applyNumberFormat="1" applyFont="1" applyBorder="1" applyAlignment="1">
      <alignment horizontal="right" vertical="center"/>
    </xf>
    <xf numFmtId="186" fontId="20" fillId="0" borderId="75" xfId="0" applyNumberFormat="1" applyFont="1" applyBorder="1" applyAlignment="1" applyProtection="1">
      <alignment horizontal="right" vertical="center"/>
      <protection locked="0"/>
    </xf>
    <xf numFmtId="176" fontId="20" fillId="0" borderId="85" xfId="0" applyNumberFormat="1" applyFont="1" applyBorder="1" applyAlignment="1" applyProtection="1">
      <alignment horizontal="right" vertical="center"/>
      <protection locked="0"/>
    </xf>
    <xf numFmtId="176" fontId="20" fillId="5" borderId="78" xfId="0" applyNumberFormat="1" applyFont="1" applyFill="1" applyBorder="1" applyAlignment="1">
      <alignment horizontal="right" vertical="center"/>
    </xf>
    <xf numFmtId="176" fontId="20" fillId="5" borderId="80" xfId="0" applyNumberFormat="1" applyFont="1" applyFill="1" applyBorder="1" applyAlignment="1">
      <alignment horizontal="right" vertical="center"/>
    </xf>
    <xf numFmtId="176" fontId="20" fillId="5" borderId="82" xfId="0" applyNumberFormat="1" applyFont="1" applyFill="1" applyBorder="1" applyAlignment="1">
      <alignment horizontal="right" vertical="center"/>
    </xf>
    <xf numFmtId="176" fontId="20" fillId="5" borderId="79" xfId="0" applyNumberFormat="1" applyFont="1" applyFill="1" applyBorder="1" applyAlignment="1">
      <alignment horizontal="right" vertical="center"/>
    </xf>
    <xf numFmtId="176" fontId="20" fillId="5" borderId="78" xfId="0" applyNumberFormat="1" applyFont="1" applyFill="1" applyBorder="1" applyAlignment="1" applyProtection="1">
      <alignment horizontal="right" vertical="center"/>
      <protection locked="0"/>
    </xf>
    <xf numFmtId="176" fontId="20" fillId="5" borderId="88" xfId="0" applyNumberFormat="1" applyFont="1" applyFill="1" applyBorder="1" applyAlignment="1" applyProtection="1">
      <alignment horizontal="right" vertical="center"/>
      <protection locked="0"/>
    </xf>
    <xf numFmtId="176" fontId="20" fillId="5" borderId="81" xfId="0" applyNumberFormat="1" applyFont="1" applyFill="1" applyBorder="1" applyAlignment="1" applyProtection="1">
      <alignment horizontal="right" vertical="center"/>
      <protection locked="0"/>
    </xf>
    <xf numFmtId="176" fontId="20" fillId="5" borderId="82" xfId="0" applyNumberFormat="1" applyFont="1" applyFill="1" applyBorder="1" applyAlignment="1" applyProtection="1">
      <alignment horizontal="right" vertical="center"/>
      <protection locked="0"/>
    </xf>
    <xf numFmtId="176" fontId="20" fillId="5" borderId="79" xfId="0" applyNumberFormat="1" applyFont="1" applyFill="1" applyBorder="1" applyAlignment="1" applyProtection="1">
      <alignment horizontal="right" vertical="center"/>
      <protection locked="0"/>
    </xf>
    <xf numFmtId="176" fontId="20" fillId="5" borderId="83" xfId="0" applyNumberFormat="1" applyFont="1" applyFill="1" applyBorder="1" applyAlignment="1" applyProtection="1">
      <alignment horizontal="right" vertical="center"/>
      <protection locked="0"/>
    </xf>
    <xf numFmtId="176" fontId="20" fillId="5" borderId="105" xfId="0" applyNumberFormat="1" applyFont="1" applyFill="1" applyBorder="1" applyAlignment="1" applyProtection="1">
      <alignment horizontal="right" vertical="center"/>
      <protection locked="0"/>
    </xf>
    <xf numFmtId="176" fontId="20" fillId="5" borderId="80" xfId="0" applyNumberFormat="1" applyFont="1" applyFill="1" applyBorder="1" applyAlignment="1" applyProtection="1">
      <alignment horizontal="right" vertical="center"/>
      <protection locked="0"/>
    </xf>
    <xf numFmtId="177" fontId="20" fillId="5" borderId="80" xfId="0" applyNumberFormat="1" applyFont="1" applyFill="1" applyBorder="1" applyAlignment="1" applyProtection="1">
      <alignment horizontal="right" vertical="center"/>
      <protection locked="0"/>
    </xf>
    <xf numFmtId="177" fontId="20" fillId="5" borderId="81" xfId="0" applyNumberFormat="1" applyFont="1" applyFill="1" applyBorder="1" applyAlignment="1" applyProtection="1">
      <alignment horizontal="right" vertical="center"/>
      <protection locked="0"/>
    </xf>
    <xf numFmtId="176" fontId="20" fillId="0" borderId="84" xfId="0" applyNumberFormat="1" applyFont="1" applyBorder="1">
      <alignment vertical="center"/>
    </xf>
    <xf numFmtId="177" fontId="20" fillId="0" borderId="75" xfId="0" applyNumberFormat="1" applyFont="1" applyBorder="1">
      <alignment vertical="center"/>
    </xf>
    <xf numFmtId="176" fontId="20" fillId="0" borderId="75" xfId="0" applyNumberFormat="1" applyFont="1" applyBorder="1">
      <alignment vertical="center"/>
    </xf>
    <xf numFmtId="176" fontId="20" fillId="0" borderId="7" xfId="0" applyNumberFormat="1" applyFont="1" applyBorder="1">
      <alignment vertical="center"/>
    </xf>
    <xf numFmtId="176" fontId="20" fillId="0" borderId="75" xfId="0" applyNumberFormat="1" applyFont="1" applyBorder="1" applyAlignment="1">
      <alignment horizontal="right" vertical="center"/>
    </xf>
    <xf numFmtId="176" fontId="20" fillId="0" borderId="77" xfId="0" applyNumberFormat="1" applyFont="1" applyBorder="1" applyAlignment="1">
      <alignment horizontal="right" vertical="center"/>
    </xf>
    <xf numFmtId="176" fontId="20" fillId="0" borderId="85" xfId="0" applyNumberFormat="1" applyFont="1" applyBorder="1" applyAlignment="1">
      <alignment horizontal="right" vertical="center"/>
    </xf>
    <xf numFmtId="176" fontId="20" fillId="0" borderId="84" xfId="0" applyNumberFormat="1" applyFont="1" applyBorder="1" applyAlignment="1">
      <alignment horizontal="right" vertical="center"/>
    </xf>
    <xf numFmtId="177" fontId="20" fillId="0" borderId="75" xfId="0" applyNumberFormat="1" applyFont="1" applyBorder="1" applyAlignment="1">
      <alignment horizontal="right" vertical="center"/>
    </xf>
    <xf numFmtId="177" fontId="20" fillId="0" borderId="77" xfId="0" applyNumberFormat="1" applyFont="1" applyBorder="1" applyAlignment="1">
      <alignment horizontal="right" vertical="center"/>
    </xf>
    <xf numFmtId="177" fontId="20" fillId="0" borderId="8" xfId="0" applyNumberFormat="1" applyFont="1" applyBorder="1" applyAlignment="1">
      <alignment horizontal="right" vertical="center"/>
    </xf>
    <xf numFmtId="176" fontId="20" fillId="0" borderId="84" xfId="0" applyNumberFormat="1" applyFont="1" applyBorder="1" applyAlignment="1" applyProtection="1">
      <alignment horizontal="right" vertical="center"/>
      <protection locked="0"/>
    </xf>
    <xf numFmtId="176" fontId="20" fillId="0" borderId="93" xfId="0" applyNumberFormat="1" applyFont="1" applyBorder="1" applyAlignment="1" applyProtection="1">
      <alignment horizontal="right" vertical="center"/>
      <protection locked="0"/>
    </xf>
    <xf numFmtId="176" fontId="20" fillId="0" borderId="76" xfId="0" applyNumberFormat="1" applyFont="1" applyBorder="1" applyAlignment="1" applyProtection="1">
      <alignment horizontal="right" vertical="center"/>
      <protection locked="0"/>
    </xf>
    <xf numFmtId="176" fontId="20" fillId="0" borderId="106" xfId="0" applyNumberFormat="1" applyFont="1" applyBorder="1" applyAlignment="1" applyProtection="1">
      <alignment horizontal="right" vertical="center"/>
      <protection locked="0"/>
    </xf>
    <xf numFmtId="176" fontId="20" fillId="0" borderId="86" xfId="0" applyNumberFormat="1" applyFont="1" applyBorder="1" applyAlignment="1" applyProtection="1">
      <alignment horizontal="right" vertical="center"/>
      <protection locked="0"/>
    </xf>
    <xf numFmtId="176" fontId="23" fillId="0" borderId="0" xfId="0" applyNumberFormat="1" applyFont="1">
      <alignment vertical="center"/>
    </xf>
    <xf numFmtId="176" fontId="23" fillId="0" borderId="0" xfId="0" applyNumberFormat="1" applyFont="1" applyAlignment="1">
      <alignment vertical="center" wrapText="1"/>
    </xf>
    <xf numFmtId="0" fontId="23" fillId="0" borderId="0" xfId="0" applyFont="1" applyAlignment="1">
      <alignment horizontal="distributed" vertical="center" justifyLastLine="1"/>
    </xf>
    <xf numFmtId="176" fontId="23" fillId="0" borderId="0" xfId="0" applyNumberFormat="1" applyFont="1" applyAlignment="1">
      <alignment horizontal="right" vertical="center"/>
    </xf>
    <xf numFmtId="176" fontId="23" fillId="0" borderId="0" xfId="0" applyNumberFormat="1" applyFont="1" applyAlignment="1" applyProtection="1">
      <alignment horizontal="right" vertical="center"/>
      <protection locked="0"/>
    </xf>
    <xf numFmtId="0" fontId="22" fillId="0" borderId="0" xfId="0" applyFont="1" applyAlignment="1">
      <alignment horizontal="right" vertical="center"/>
    </xf>
    <xf numFmtId="177" fontId="23" fillId="0" borderId="0" xfId="0" applyNumberFormat="1" applyFont="1" applyAlignment="1" applyProtection="1">
      <alignment horizontal="right" vertical="center"/>
      <protection locked="0"/>
    </xf>
    <xf numFmtId="0" fontId="25" fillId="0" borderId="0" xfId="0" applyFont="1" applyAlignment="1">
      <alignment horizontal="left" vertical="center" wrapText="1"/>
    </xf>
    <xf numFmtId="49" fontId="22" fillId="0" borderId="0" xfId="0" applyNumberFormat="1" applyFont="1" applyAlignment="1">
      <alignment horizontal="left" vertical="center"/>
    </xf>
    <xf numFmtId="49" fontId="23" fillId="0" borderId="0" xfId="0" applyNumberFormat="1" applyFont="1">
      <alignment vertical="center"/>
    </xf>
    <xf numFmtId="0" fontId="25" fillId="0" borderId="0" xfId="0" applyFont="1" applyAlignment="1">
      <alignment vertical="center" wrapText="1"/>
    </xf>
    <xf numFmtId="184" fontId="22" fillId="0" borderId="0" xfId="0" applyNumberFormat="1" applyFont="1">
      <alignment vertical="center"/>
    </xf>
    <xf numFmtId="0" fontId="25" fillId="0" borderId="0" xfId="0" applyFont="1">
      <alignment vertical="center"/>
    </xf>
    <xf numFmtId="185" fontId="22" fillId="0" borderId="0" xfId="0" applyNumberFormat="1" applyFont="1">
      <alignment vertical="center"/>
    </xf>
    <xf numFmtId="0" fontId="22" fillId="0" borderId="0" xfId="0" applyFont="1" applyAlignment="1">
      <alignment vertical="top"/>
    </xf>
    <xf numFmtId="176" fontId="23" fillId="0" borderId="0" xfId="0" applyNumberFormat="1" applyFont="1" applyAlignment="1">
      <alignment vertical="top" wrapText="1"/>
    </xf>
    <xf numFmtId="0" fontId="0" fillId="0" borderId="0" xfId="0" applyAlignment="1">
      <alignment vertical="top"/>
    </xf>
    <xf numFmtId="0" fontId="30" fillId="0" borderId="0" xfId="0" applyFont="1" applyAlignment="1">
      <alignment horizontal="center" vertical="center"/>
    </xf>
    <xf numFmtId="0" fontId="9" fillId="0" borderId="0" xfId="0" applyFont="1">
      <alignment vertical="center"/>
    </xf>
    <xf numFmtId="0" fontId="0" fillId="0" borderId="7" xfId="0" applyBorder="1">
      <alignment vertical="center"/>
    </xf>
    <xf numFmtId="0" fontId="17" fillId="0" borderId="44" xfId="0" applyFont="1" applyBorder="1" applyAlignment="1">
      <alignment horizontal="center" vertical="center"/>
    </xf>
    <xf numFmtId="176" fontId="17" fillId="3" borderId="53" xfId="0" applyNumberFormat="1" applyFont="1" applyFill="1" applyBorder="1" applyAlignment="1">
      <alignment horizontal="right" vertical="center"/>
    </xf>
    <xf numFmtId="176" fontId="17" fillId="2" borderId="42" xfId="0" applyNumberFormat="1" applyFont="1" applyFill="1" applyBorder="1" applyAlignment="1">
      <alignment horizontal="right" vertical="center"/>
    </xf>
    <xf numFmtId="176" fontId="17" fillId="2" borderId="53" xfId="0" applyNumberFormat="1" applyFont="1" applyFill="1" applyBorder="1" applyAlignment="1">
      <alignment horizontal="right" vertical="center"/>
    </xf>
    <xf numFmtId="176" fontId="17" fillId="2" borderId="44" xfId="0" applyNumberFormat="1" applyFont="1" applyFill="1" applyBorder="1" applyAlignment="1">
      <alignment horizontal="right" vertical="center"/>
    </xf>
    <xf numFmtId="177" fontId="17" fillId="2" borderId="47" xfId="0" applyNumberFormat="1" applyFont="1" applyFill="1" applyBorder="1" applyAlignment="1">
      <alignment horizontal="right" vertical="center"/>
    </xf>
    <xf numFmtId="177" fontId="0" fillId="0" borderId="0" xfId="0" applyNumberFormat="1">
      <alignment vertical="center"/>
    </xf>
    <xf numFmtId="176" fontId="0" fillId="0" borderId="0" xfId="0" applyNumberFormat="1" applyAlignment="1">
      <alignment horizontal="right" vertical="center"/>
    </xf>
    <xf numFmtId="176" fontId="0" fillId="0" borderId="0" xfId="0" applyNumberFormat="1">
      <alignment vertical="center"/>
    </xf>
    <xf numFmtId="176" fontId="17" fillId="5" borderId="42" xfId="0" applyNumberFormat="1" applyFont="1" applyFill="1" applyBorder="1" applyAlignment="1">
      <alignment horizontal="right" vertical="center"/>
    </xf>
    <xf numFmtId="176" fontId="17" fillId="5" borderId="53" xfId="0" applyNumberFormat="1" applyFont="1" applyFill="1" applyBorder="1" applyAlignment="1">
      <alignment horizontal="right" vertical="center"/>
    </xf>
    <xf numFmtId="176" fontId="17" fillId="5" borderId="44" xfId="0" applyNumberFormat="1" applyFont="1" applyFill="1" applyBorder="1" applyAlignment="1">
      <alignment horizontal="right" vertical="center"/>
    </xf>
    <xf numFmtId="177" fontId="17" fillId="5" borderId="47" xfId="0" applyNumberFormat="1" applyFont="1" applyFill="1" applyBorder="1" applyAlignment="1">
      <alignment horizontal="right" vertical="center"/>
    </xf>
    <xf numFmtId="176" fontId="17" fillId="0" borderId="42" xfId="0" applyNumberFormat="1" applyFont="1" applyBorder="1" applyAlignment="1">
      <alignment horizontal="right" vertical="center"/>
    </xf>
    <xf numFmtId="176" fontId="17" fillId="0" borderId="53" xfId="0" applyNumberFormat="1" applyFont="1" applyBorder="1" applyAlignment="1">
      <alignment horizontal="right" vertical="center"/>
    </xf>
    <xf numFmtId="177" fontId="17" fillId="0" borderId="47" xfId="0" applyNumberFormat="1" applyFont="1" applyBorder="1" applyAlignment="1">
      <alignment horizontal="right" vertical="center"/>
    </xf>
    <xf numFmtId="177" fontId="17" fillId="3" borderId="56" xfId="0" applyNumberFormat="1" applyFont="1" applyFill="1" applyBorder="1" applyAlignment="1">
      <alignment horizontal="right" vertical="center"/>
    </xf>
    <xf numFmtId="0" fontId="0" fillId="0" borderId="44" xfId="0" applyBorder="1">
      <alignment vertical="center"/>
    </xf>
    <xf numFmtId="0" fontId="0" fillId="0" borderId="53" xfId="0" applyBorder="1">
      <alignment vertical="center"/>
    </xf>
    <xf numFmtId="176" fontId="17" fillId="5" borderId="78" xfId="0" applyNumberFormat="1" applyFont="1" applyFill="1" applyBorder="1" applyAlignment="1">
      <alignment horizontal="right" vertical="center"/>
    </xf>
    <xf numFmtId="176" fontId="17" fillId="5" borderId="81" xfId="0" applyNumberFormat="1" applyFont="1" applyFill="1" applyBorder="1" applyAlignment="1">
      <alignment horizontal="right" vertical="center"/>
    </xf>
    <xf numFmtId="176" fontId="17" fillId="5" borderId="82" xfId="0" applyNumberFormat="1" applyFont="1" applyFill="1" applyBorder="1" applyAlignment="1">
      <alignment horizontal="right" vertical="center"/>
    </xf>
    <xf numFmtId="0" fontId="17" fillId="0" borderId="13" xfId="0" applyFont="1" applyBorder="1" applyAlignment="1">
      <alignment horizontal="center" vertical="center"/>
    </xf>
    <xf numFmtId="176" fontId="17" fillId="0" borderId="13" xfId="0" applyNumberFormat="1" applyFont="1" applyBorder="1" applyAlignment="1">
      <alignment horizontal="right" vertical="center"/>
    </xf>
    <xf numFmtId="176" fontId="17" fillId="0" borderId="70" xfId="0" applyNumberFormat="1" applyFont="1" applyBorder="1" applyAlignment="1">
      <alignment horizontal="right" vertical="center"/>
    </xf>
    <xf numFmtId="177" fontId="17" fillId="0" borderId="72" xfId="0" applyNumberFormat="1" applyFont="1" applyBorder="1" applyAlignment="1">
      <alignment horizontal="right" vertical="center"/>
    </xf>
    <xf numFmtId="0" fontId="19" fillId="0" borderId="0" xfId="0" applyFont="1">
      <alignment vertical="center"/>
    </xf>
    <xf numFmtId="0" fontId="25" fillId="0" borderId="0" xfId="0" applyFont="1" applyAlignment="1">
      <alignment vertical="top"/>
    </xf>
    <xf numFmtId="0" fontId="11" fillId="0" borderId="0" xfId="4" applyFont="1">
      <alignment vertical="center"/>
    </xf>
    <xf numFmtId="0" fontId="11" fillId="0" borderId="0" xfId="4" applyFont="1" applyAlignment="1">
      <alignment horizontal="center" vertical="center"/>
    </xf>
    <xf numFmtId="0" fontId="0" fillId="0" borderId="0" xfId="4" applyFont="1">
      <alignment vertical="center"/>
    </xf>
    <xf numFmtId="0" fontId="11" fillId="0" borderId="94" xfId="4" applyFont="1" applyBorder="1" applyAlignment="1">
      <alignment horizontal="center" vertical="center"/>
    </xf>
    <xf numFmtId="0" fontId="28" fillId="0" borderId="94" xfId="4" applyFont="1" applyBorder="1">
      <alignment vertical="center"/>
    </xf>
    <xf numFmtId="0" fontId="11" fillId="0" borderId="94" xfId="4" applyFont="1" applyBorder="1">
      <alignment vertical="center"/>
    </xf>
    <xf numFmtId="0" fontId="15" fillId="0" borderId="5" xfId="4" applyFont="1" applyBorder="1" applyAlignment="1">
      <alignment horizontal="right" vertical="center"/>
    </xf>
    <xf numFmtId="0" fontId="17" fillId="0" borderId="89" xfId="4" applyFont="1" applyBorder="1" applyAlignment="1">
      <alignment horizontal="centerContinuous" vertical="center"/>
    </xf>
    <xf numFmtId="0" fontId="1" fillId="0" borderId="32" xfId="4" applyBorder="1" applyAlignment="1">
      <alignment horizontal="centerContinuous" vertical="center"/>
    </xf>
    <xf numFmtId="0" fontId="17" fillId="0" borderId="33" xfId="4" applyFont="1" applyBorder="1" applyAlignment="1">
      <alignment horizontal="centerContinuous" vertical="center"/>
    </xf>
    <xf numFmtId="0" fontId="15" fillId="0" borderId="8" xfId="4" applyFont="1" applyBorder="1">
      <alignment vertical="center"/>
    </xf>
    <xf numFmtId="0" fontId="17" fillId="0" borderId="0" xfId="4" applyFont="1">
      <alignment vertical="center"/>
    </xf>
    <xf numFmtId="0" fontId="23" fillId="0" borderId="8" xfId="4" applyFont="1" applyBorder="1" applyAlignment="1">
      <alignment horizontal="center" vertical="center"/>
    </xf>
    <xf numFmtId="0" fontId="15" fillId="0" borderId="8" xfId="4" applyFont="1" applyBorder="1" applyAlignment="1">
      <alignment horizontal="center" vertical="center"/>
    </xf>
    <xf numFmtId="0" fontId="15" fillId="0" borderId="59" xfId="4" applyFont="1" applyBorder="1" applyAlignment="1">
      <alignment horizontal="center" vertical="center" wrapText="1"/>
    </xf>
    <xf numFmtId="0" fontId="15" fillId="0" borderId="59" xfId="4" applyFont="1" applyBorder="1" applyAlignment="1">
      <alignment horizontal="center" vertical="center"/>
    </xf>
    <xf numFmtId="0" fontId="26" fillId="0" borderId="46" xfId="4" applyFont="1" applyBorder="1" applyAlignment="1">
      <alignment horizontal="center" vertical="center"/>
    </xf>
    <xf numFmtId="0" fontId="23" fillId="0" borderId="44" xfId="4" applyFont="1" applyBorder="1" applyAlignment="1">
      <alignment horizontal="center" vertical="center" wrapText="1" shrinkToFit="1"/>
    </xf>
    <xf numFmtId="0" fontId="31" fillId="0" borderId="46" xfId="4" applyFont="1" applyBorder="1" applyAlignment="1">
      <alignment horizontal="center" vertical="center"/>
    </xf>
    <xf numFmtId="0" fontId="15" fillId="0" borderId="0" xfId="4" applyFont="1">
      <alignment vertical="center"/>
    </xf>
    <xf numFmtId="0" fontId="15" fillId="0" borderId="95" xfId="4" applyFont="1" applyBorder="1" applyAlignment="1">
      <alignment horizontal="center" vertical="center" wrapText="1"/>
    </xf>
    <xf numFmtId="0" fontId="31" fillId="0" borderId="59" xfId="4" applyFont="1" applyBorder="1" applyAlignment="1">
      <alignment horizontal="center" vertical="center" wrapText="1"/>
    </xf>
    <xf numFmtId="0" fontId="15" fillId="0" borderId="45" xfId="4" applyFont="1" applyBorder="1" applyAlignment="1">
      <alignment horizontal="center" vertical="center" wrapText="1"/>
    </xf>
    <xf numFmtId="0" fontId="31" fillId="0" borderId="54" xfId="4" applyFont="1" applyBorder="1" applyAlignment="1">
      <alignment horizontal="center" vertical="center" wrapText="1"/>
    </xf>
    <xf numFmtId="0" fontId="23" fillId="0" borderId="111" xfId="4" applyFont="1" applyBorder="1" applyAlignment="1">
      <alignment horizontal="center" vertical="center" wrapText="1"/>
    </xf>
    <xf numFmtId="0" fontId="18" fillId="0" borderId="45" xfId="4" applyFont="1" applyBorder="1" applyAlignment="1">
      <alignment horizontal="center" vertical="center" wrapText="1"/>
    </xf>
    <xf numFmtId="0" fontId="31" fillId="0" borderId="7" xfId="4" applyFont="1" applyBorder="1" applyAlignment="1">
      <alignment horizontal="center" vertical="center" wrapText="1"/>
    </xf>
    <xf numFmtId="0" fontId="15" fillId="0" borderId="13" xfId="4" applyFont="1" applyBorder="1">
      <alignment vertical="center"/>
    </xf>
    <xf numFmtId="0" fontId="18" fillId="0" borderId="63" xfId="4" applyFont="1" applyBorder="1" applyAlignment="1">
      <alignment horizontal="right" vertical="center"/>
    </xf>
    <xf numFmtId="0" fontId="18" fillId="0" borderId="65" xfId="4" applyFont="1" applyBorder="1" applyAlignment="1">
      <alignment horizontal="right" vertical="center"/>
    </xf>
    <xf numFmtId="0" fontId="18" fillId="0" borderId="67" xfId="4" applyFont="1" applyBorder="1" applyAlignment="1">
      <alignment horizontal="right" vertical="center"/>
    </xf>
    <xf numFmtId="0" fontId="18" fillId="0" borderId="66" xfId="4" applyFont="1" applyBorder="1" applyAlignment="1">
      <alignment horizontal="right" vertical="center"/>
    </xf>
    <xf numFmtId="0" fontId="18" fillId="0" borderId="72" xfId="4" applyFont="1" applyBorder="1" applyAlignment="1">
      <alignment horizontal="right" vertical="center"/>
    </xf>
    <xf numFmtId="176" fontId="20" fillId="3" borderId="40" xfId="4" applyNumberFormat="1" applyFont="1" applyFill="1" applyBorder="1" applyAlignment="1">
      <alignment horizontal="right" vertical="center"/>
    </xf>
    <xf numFmtId="176" fontId="20" fillId="3" borderId="38" xfId="4" applyNumberFormat="1" applyFont="1" applyFill="1" applyBorder="1" applyAlignment="1">
      <alignment horizontal="right" vertical="center"/>
    </xf>
    <xf numFmtId="177" fontId="20" fillId="3" borderId="38" xfId="4" applyNumberFormat="1" applyFont="1" applyFill="1" applyBorder="1" applyAlignment="1">
      <alignment horizontal="right" vertical="center"/>
    </xf>
    <xf numFmtId="177" fontId="20" fillId="3" borderId="89" xfId="4" applyNumberFormat="1" applyFont="1" applyFill="1" applyBorder="1" applyAlignment="1">
      <alignment horizontal="right" vertical="center"/>
    </xf>
    <xf numFmtId="183" fontId="20" fillId="3" borderId="53" xfId="4" applyNumberFormat="1" applyFont="1" applyFill="1" applyBorder="1" applyAlignment="1">
      <alignment horizontal="right" vertical="center"/>
    </xf>
    <xf numFmtId="176" fontId="20" fillId="3" borderId="89" xfId="4" applyNumberFormat="1" applyFont="1" applyFill="1" applyBorder="1" applyAlignment="1">
      <alignment horizontal="right" vertical="center"/>
    </xf>
    <xf numFmtId="176" fontId="20" fillId="3" borderId="39" xfId="4" applyNumberFormat="1" applyFont="1" applyFill="1" applyBorder="1" applyAlignment="1">
      <alignment horizontal="right" vertical="center"/>
    </xf>
    <xf numFmtId="176" fontId="20" fillId="5" borderId="40" xfId="4" applyNumberFormat="1" applyFont="1" applyFill="1" applyBorder="1" applyAlignment="1">
      <alignment horizontal="right" vertical="center"/>
    </xf>
    <xf numFmtId="177" fontId="20" fillId="5" borderId="38" xfId="4" applyNumberFormat="1" applyFont="1" applyFill="1" applyBorder="1" applyAlignment="1">
      <alignment horizontal="right" vertical="center"/>
    </xf>
    <xf numFmtId="176" fontId="20" fillId="5" borderId="38" xfId="4" applyNumberFormat="1" applyFont="1" applyFill="1" applyBorder="1" applyAlignment="1">
      <alignment horizontal="right" vertical="center"/>
    </xf>
    <xf numFmtId="176" fontId="20" fillId="2" borderId="42" xfId="4" applyNumberFormat="1" applyFont="1" applyFill="1" applyBorder="1" applyAlignment="1">
      <alignment horizontal="right" vertical="center"/>
    </xf>
    <xf numFmtId="176" fontId="20" fillId="2" borderId="53" xfId="4" applyNumberFormat="1" applyFont="1" applyFill="1" applyBorder="1" applyAlignment="1">
      <alignment horizontal="right" vertical="center"/>
    </xf>
    <xf numFmtId="177" fontId="20" fillId="2" borderId="53" xfId="4" applyNumberFormat="1" applyFont="1" applyFill="1" applyBorder="1" applyAlignment="1">
      <alignment horizontal="right" vertical="center"/>
    </xf>
    <xf numFmtId="176" fontId="20" fillId="2" borderId="44" xfId="4" applyNumberFormat="1" applyFont="1" applyFill="1" applyBorder="1" applyAlignment="1">
      <alignment horizontal="right" vertical="center"/>
    </xf>
    <xf numFmtId="177" fontId="20" fillId="2" borderId="44" xfId="4" applyNumberFormat="1" applyFont="1" applyFill="1" applyBorder="1" applyAlignment="1">
      <alignment horizontal="right" vertical="center"/>
    </xf>
    <xf numFmtId="183" fontId="20" fillId="2" borderId="53" xfId="4" applyNumberFormat="1" applyFont="1" applyFill="1" applyBorder="1" applyAlignment="1">
      <alignment horizontal="right" vertical="center"/>
    </xf>
    <xf numFmtId="176" fontId="20" fillId="2" borderId="47" xfId="4" applyNumberFormat="1" applyFont="1" applyFill="1" applyBorder="1" applyAlignment="1">
      <alignment horizontal="right" vertical="center"/>
    </xf>
    <xf numFmtId="176" fontId="20" fillId="0" borderId="42" xfId="4" applyNumberFormat="1" applyFont="1" applyBorder="1" applyAlignment="1">
      <alignment horizontal="right" vertical="center"/>
    </xf>
    <xf numFmtId="177" fontId="20" fillId="0" borderId="53" xfId="4" applyNumberFormat="1" applyFont="1" applyBorder="1" applyAlignment="1">
      <alignment horizontal="right" vertical="center"/>
    </xf>
    <xf numFmtId="176" fontId="20" fillId="0" borderId="53" xfId="4" applyNumberFormat="1" applyFont="1" applyBorder="1" applyAlignment="1">
      <alignment horizontal="right" vertical="center"/>
    </xf>
    <xf numFmtId="176" fontId="20" fillId="0" borderId="47" xfId="4" applyNumberFormat="1" applyFont="1" applyBorder="1" applyAlignment="1">
      <alignment horizontal="right" vertical="center"/>
    </xf>
    <xf numFmtId="177" fontId="0" fillId="0" borderId="0" xfId="0" applyNumberFormat="1" applyAlignment="1">
      <alignment horizontal="right" vertical="center"/>
    </xf>
    <xf numFmtId="176" fontId="20" fillId="3" borderId="42" xfId="4" applyNumberFormat="1" applyFont="1" applyFill="1" applyBorder="1" applyAlignment="1">
      <alignment horizontal="right" vertical="center"/>
    </xf>
    <xf numFmtId="176" fontId="20" fillId="3" borderId="53" xfId="4" applyNumberFormat="1" applyFont="1" applyFill="1" applyBorder="1" applyAlignment="1">
      <alignment horizontal="right" vertical="center"/>
    </xf>
    <xf numFmtId="177" fontId="20" fillId="3" borderId="53" xfId="4" applyNumberFormat="1" applyFont="1" applyFill="1" applyBorder="1" applyAlignment="1">
      <alignment horizontal="right" vertical="center"/>
    </xf>
    <xf numFmtId="176" fontId="20" fillId="3" borderId="44" xfId="4" applyNumberFormat="1" applyFont="1" applyFill="1" applyBorder="1" applyAlignment="1">
      <alignment horizontal="right" vertical="center"/>
    </xf>
    <xf numFmtId="177" fontId="20" fillId="3" borderId="44" xfId="4" applyNumberFormat="1" applyFont="1" applyFill="1" applyBorder="1" applyAlignment="1">
      <alignment horizontal="right" vertical="center"/>
    </xf>
    <xf numFmtId="176" fontId="20" fillId="3" borderId="47" xfId="4" applyNumberFormat="1" applyFont="1" applyFill="1" applyBorder="1" applyAlignment="1">
      <alignment horizontal="right" vertical="center"/>
    </xf>
    <xf numFmtId="176" fontId="20" fillId="5" borderId="42" xfId="4" applyNumberFormat="1" applyFont="1" applyFill="1" applyBorder="1" applyAlignment="1">
      <alignment horizontal="right" vertical="center"/>
    </xf>
    <xf numFmtId="177" fontId="20" fillId="5" borderId="53" xfId="4" applyNumberFormat="1" applyFont="1" applyFill="1" applyBorder="1" applyAlignment="1">
      <alignment horizontal="right" vertical="center"/>
    </xf>
    <xf numFmtId="176" fontId="20" fillId="5" borderId="53" xfId="4" applyNumberFormat="1" applyFont="1" applyFill="1" applyBorder="1" applyAlignment="1">
      <alignment horizontal="right" vertical="center"/>
    </xf>
    <xf numFmtId="176" fontId="20" fillId="3" borderId="42" xfId="4" applyNumberFormat="1" applyFont="1" applyFill="1" applyBorder="1" applyAlignment="1">
      <alignment horizontal="right" vertical="center" shrinkToFit="1"/>
    </xf>
    <xf numFmtId="176" fontId="20" fillId="5" borderId="47" xfId="4" applyNumberFormat="1" applyFont="1" applyFill="1" applyBorder="1" applyAlignment="1">
      <alignment horizontal="right" vertical="center"/>
    </xf>
    <xf numFmtId="177" fontId="0" fillId="0" borderId="0" xfId="4" applyNumberFormat="1" applyFont="1" applyAlignment="1">
      <alignment horizontal="right" vertical="center"/>
    </xf>
    <xf numFmtId="176" fontId="20" fillId="4" borderId="53" xfId="4" applyNumberFormat="1" applyFont="1" applyFill="1" applyBorder="1" applyAlignment="1">
      <alignment horizontal="right" vertical="center"/>
    </xf>
    <xf numFmtId="177" fontId="20" fillId="4" borderId="53" xfId="4" applyNumberFormat="1" applyFont="1" applyFill="1" applyBorder="1" applyAlignment="1">
      <alignment horizontal="right" vertical="center"/>
    </xf>
    <xf numFmtId="176" fontId="20" fillId="4" borderId="44" xfId="4" applyNumberFormat="1" applyFont="1" applyFill="1" applyBorder="1" applyAlignment="1">
      <alignment horizontal="right" vertical="center"/>
    </xf>
    <xf numFmtId="177" fontId="20" fillId="4" borderId="44" xfId="4" applyNumberFormat="1" applyFont="1" applyFill="1" applyBorder="1" applyAlignment="1">
      <alignment horizontal="right" vertical="center"/>
    </xf>
    <xf numFmtId="183" fontId="20" fillId="4" borderId="53" xfId="4" applyNumberFormat="1" applyFont="1" applyFill="1" applyBorder="1" applyAlignment="1">
      <alignment horizontal="right" vertical="center"/>
    </xf>
    <xf numFmtId="176" fontId="20" fillId="4" borderId="47" xfId="4" applyNumberFormat="1" applyFont="1" applyFill="1" applyBorder="1" applyAlignment="1">
      <alignment horizontal="right" vertical="center"/>
    </xf>
    <xf numFmtId="176" fontId="20" fillId="5" borderId="44" xfId="4" applyNumberFormat="1" applyFont="1" applyFill="1" applyBorder="1" applyAlignment="1">
      <alignment horizontal="right" vertical="center"/>
    </xf>
    <xf numFmtId="177" fontId="20" fillId="5" borderId="44" xfId="4" applyNumberFormat="1" applyFont="1" applyFill="1" applyBorder="1" applyAlignment="1">
      <alignment horizontal="right" vertical="center"/>
    </xf>
    <xf numFmtId="176" fontId="20" fillId="0" borderId="44" xfId="4" applyNumberFormat="1" applyFont="1" applyBorder="1" applyAlignment="1">
      <alignment horizontal="right" vertical="center"/>
    </xf>
    <xf numFmtId="177" fontId="20" fillId="0" borderId="44" xfId="4" applyNumberFormat="1" applyFont="1" applyBorder="1" applyAlignment="1">
      <alignment horizontal="right" vertical="center"/>
    </xf>
    <xf numFmtId="183" fontId="20" fillId="0" borderId="53" xfId="4" applyNumberFormat="1" applyFont="1" applyBorder="1" applyAlignment="1">
      <alignment horizontal="right" vertical="center"/>
    </xf>
    <xf numFmtId="176" fontId="20" fillId="2" borderId="42" xfId="4" applyNumberFormat="1" applyFont="1" applyFill="1" applyBorder="1" applyAlignment="1">
      <alignment horizontal="right" vertical="center" shrinkToFit="1"/>
    </xf>
    <xf numFmtId="176" fontId="20" fillId="2" borderId="47" xfId="4" applyNumberFormat="1" applyFont="1" applyFill="1" applyBorder="1" applyAlignment="1">
      <alignment horizontal="right" vertical="center" shrinkToFit="1"/>
    </xf>
    <xf numFmtId="187" fontId="20" fillId="3" borderId="42" xfId="4" applyNumberFormat="1" applyFont="1" applyFill="1" applyBorder="1" applyAlignment="1">
      <alignment horizontal="right" vertical="center" shrinkToFit="1"/>
    </xf>
    <xf numFmtId="183" fontId="20" fillId="3" borderId="100" xfId="0" applyNumberFormat="1" applyFont="1" applyFill="1" applyBorder="1" applyAlignment="1">
      <alignment horizontal="right" vertical="center" wrapText="1"/>
    </xf>
    <xf numFmtId="176" fontId="20" fillId="5" borderId="102" xfId="0" applyNumberFormat="1" applyFont="1" applyFill="1" applyBorder="1" applyAlignment="1">
      <alignment horizontal="right" vertical="center" wrapText="1"/>
    </xf>
    <xf numFmtId="177" fontId="20" fillId="5" borderId="100" xfId="0" applyNumberFormat="1" applyFont="1" applyFill="1" applyBorder="1" applyAlignment="1">
      <alignment horizontal="right" vertical="center" wrapText="1"/>
    </xf>
    <xf numFmtId="176" fontId="20" fillId="5" borderId="100" xfId="0" applyNumberFormat="1" applyFont="1" applyFill="1" applyBorder="1" applyAlignment="1">
      <alignment horizontal="right" vertical="center" wrapText="1"/>
    </xf>
    <xf numFmtId="176" fontId="20" fillId="5" borderId="109" xfId="0" applyNumberFormat="1" applyFont="1" applyFill="1" applyBorder="1" applyAlignment="1">
      <alignment horizontal="right" vertical="center" wrapText="1"/>
    </xf>
    <xf numFmtId="183" fontId="20" fillId="5" borderId="53" xfId="4" applyNumberFormat="1" applyFont="1" applyFill="1" applyBorder="1" applyAlignment="1">
      <alignment horizontal="right" vertical="center"/>
    </xf>
    <xf numFmtId="176" fontId="20" fillId="2" borderId="8" xfId="4" applyNumberFormat="1" applyFont="1" applyFill="1" applyBorder="1" applyAlignment="1">
      <alignment horizontal="right" vertical="center"/>
    </xf>
    <xf numFmtId="0" fontId="0" fillId="0" borderId="7" xfId="0" applyBorder="1" applyAlignment="1">
      <alignment horizontal="right" vertical="center"/>
    </xf>
    <xf numFmtId="176" fontId="20" fillId="0" borderId="42" xfId="4" applyNumberFormat="1" applyFont="1" applyBorder="1" applyAlignment="1">
      <alignment horizontal="right" vertical="center" shrinkToFit="1"/>
    </xf>
    <xf numFmtId="177" fontId="20" fillId="3" borderId="0" xfId="0" applyNumberFormat="1" applyFont="1" applyFill="1" applyAlignment="1">
      <alignment horizontal="right" vertical="center"/>
    </xf>
    <xf numFmtId="0" fontId="32" fillId="0" borderId="0" xfId="0" applyFont="1" applyAlignment="1">
      <alignment horizontal="right" vertical="center"/>
    </xf>
    <xf numFmtId="176" fontId="20" fillId="3" borderId="8" xfId="4" applyNumberFormat="1" applyFont="1" applyFill="1" applyBorder="1" applyAlignment="1">
      <alignment horizontal="right" vertical="center"/>
    </xf>
    <xf numFmtId="176" fontId="20" fillId="5" borderId="78" xfId="4" applyNumberFormat="1" applyFont="1" applyFill="1" applyBorder="1">
      <alignment vertical="center"/>
    </xf>
    <xf numFmtId="176" fontId="20" fillId="5" borderId="81" xfId="4" applyNumberFormat="1" applyFont="1" applyFill="1" applyBorder="1">
      <alignment vertical="center"/>
    </xf>
    <xf numFmtId="176" fontId="20" fillId="5" borderId="81" xfId="4" applyNumberFormat="1" applyFont="1" applyFill="1" applyBorder="1" applyAlignment="1">
      <alignment horizontal="right" vertical="center"/>
    </xf>
    <xf numFmtId="176" fontId="20" fillId="5" borderId="82" xfId="4" applyNumberFormat="1" applyFont="1" applyFill="1" applyBorder="1">
      <alignment vertical="center"/>
    </xf>
    <xf numFmtId="176" fontId="20" fillId="5" borderId="113" xfId="4" applyNumberFormat="1" applyFont="1" applyFill="1" applyBorder="1">
      <alignment vertical="center"/>
    </xf>
    <xf numFmtId="176" fontId="20" fillId="5" borderId="88" xfId="4" applyNumberFormat="1" applyFont="1" applyFill="1" applyBorder="1">
      <alignment vertical="center"/>
    </xf>
    <xf numFmtId="176" fontId="20" fillId="0" borderId="84" xfId="4" applyNumberFormat="1" applyFont="1" applyBorder="1">
      <alignment vertical="center"/>
    </xf>
    <xf numFmtId="176" fontId="20" fillId="0" borderId="75" xfId="4" applyNumberFormat="1" applyFont="1" applyBorder="1">
      <alignment vertical="center"/>
    </xf>
    <xf numFmtId="177" fontId="20" fillId="0" borderId="75" xfId="4" applyNumberFormat="1" applyFont="1" applyBorder="1">
      <alignment vertical="center"/>
    </xf>
    <xf numFmtId="177" fontId="20" fillId="0" borderId="76" xfId="4" applyNumberFormat="1" applyFont="1" applyBorder="1">
      <alignment vertical="center"/>
    </xf>
    <xf numFmtId="176" fontId="20" fillId="0" borderId="77" xfId="4" applyNumberFormat="1" applyFont="1" applyBorder="1">
      <alignment vertical="center"/>
    </xf>
    <xf numFmtId="176" fontId="20" fillId="0" borderId="87" xfId="4" applyNumberFormat="1" applyFont="1" applyBorder="1">
      <alignment vertical="center"/>
    </xf>
    <xf numFmtId="176" fontId="20" fillId="0" borderId="93" xfId="4" applyNumberFormat="1" applyFont="1" applyBorder="1">
      <alignment vertical="center"/>
    </xf>
    <xf numFmtId="176" fontId="20" fillId="0" borderId="85" xfId="4" applyNumberFormat="1" applyFont="1" applyBorder="1" applyAlignment="1">
      <alignment horizontal="right" vertical="center"/>
    </xf>
    <xf numFmtId="0" fontId="22" fillId="0" borderId="0" xfId="4" applyFont="1">
      <alignment vertical="center"/>
    </xf>
    <xf numFmtId="0" fontId="23" fillId="0" borderId="0" xfId="4" applyFont="1">
      <alignment vertical="center"/>
    </xf>
    <xf numFmtId="183" fontId="23" fillId="0" borderId="0" xfId="4" applyNumberFormat="1" applyFont="1" applyAlignment="1">
      <alignment horizontal="right" vertical="center"/>
    </xf>
    <xf numFmtId="176" fontId="23" fillId="0" borderId="0" xfId="4" applyNumberFormat="1" applyFont="1" applyAlignment="1">
      <alignment horizontal="right" vertical="center"/>
    </xf>
    <xf numFmtId="176" fontId="23" fillId="0" borderId="0" xfId="4" applyNumberFormat="1" applyFont="1" applyAlignment="1">
      <alignment horizontal="left" vertical="center"/>
    </xf>
    <xf numFmtId="0" fontId="22" fillId="0" borderId="0" xfId="6" applyFont="1" applyAlignment="1">
      <alignment vertical="center"/>
    </xf>
    <xf numFmtId="0" fontId="34" fillId="0" borderId="0" xfId="4" applyFont="1">
      <alignment vertical="center"/>
    </xf>
    <xf numFmtId="176" fontId="23" fillId="0" borderId="0" xfId="4" applyNumberFormat="1" applyFont="1">
      <alignment vertical="center"/>
    </xf>
    <xf numFmtId="0" fontId="35" fillId="0" borderId="0" xfId="4" applyFont="1">
      <alignment vertical="center"/>
    </xf>
    <xf numFmtId="0" fontId="1" fillId="0" borderId="0" xfId="6" applyFont="1" applyAlignment="1">
      <alignment vertical="center"/>
    </xf>
    <xf numFmtId="0" fontId="25" fillId="0" borderId="0" xfId="4" applyFont="1" applyAlignment="1">
      <alignment vertical="center" wrapText="1"/>
    </xf>
    <xf numFmtId="0" fontId="25" fillId="0" borderId="0" xfId="4" applyFont="1">
      <alignment vertical="center"/>
    </xf>
    <xf numFmtId="183" fontId="20" fillId="0" borderId="0" xfId="0" applyNumberFormat="1" applyFont="1" applyAlignment="1">
      <alignment horizontal="right" vertical="center"/>
    </xf>
    <xf numFmtId="176" fontId="20" fillId="0" borderId="0" xfId="0" applyNumberFormat="1" applyFont="1">
      <alignment vertical="center"/>
    </xf>
    <xf numFmtId="177" fontId="20" fillId="0" borderId="0" xfId="0" applyNumberFormat="1" applyFont="1" applyAlignment="1">
      <alignment horizontal="right" vertical="center"/>
    </xf>
    <xf numFmtId="176" fontId="20" fillId="2" borderId="0" xfId="0" applyNumberFormat="1" applyFont="1" applyFill="1">
      <alignment vertical="center"/>
    </xf>
    <xf numFmtId="177" fontId="20" fillId="2" borderId="0" xfId="0" applyNumberFormat="1" applyFont="1" applyFill="1" applyAlignment="1">
      <alignment horizontal="right" vertical="center"/>
    </xf>
    <xf numFmtId="176" fontId="20" fillId="2" borderId="0" xfId="0" applyNumberFormat="1" applyFont="1" applyFill="1" applyAlignment="1">
      <alignment horizontal="right" vertical="center"/>
    </xf>
    <xf numFmtId="0" fontId="11" fillId="0" borderId="0" xfId="0" applyFont="1" applyAlignment="1">
      <alignment vertical="center" shrinkToFit="1"/>
    </xf>
    <xf numFmtId="0" fontId="29" fillId="0" borderId="0" xfId="0" applyFont="1">
      <alignment vertical="center"/>
    </xf>
    <xf numFmtId="0" fontId="17" fillId="0" borderId="7" xfId="0" applyFont="1" applyBorder="1" applyAlignment="1">
      <alignment horizontal="center" vertical="center" shrinkToFit="1"/>
    </xf>
    <xf numFmtId="0" fontId="17" fillId="0" borderId="73" xfId="0" applyFont="1" applyBorder="1">
      <alignment vertical="center"/>
    </xf>
    <xf numFmtId="0" fontId="18" fillId="0" borderId="0" xfId="0" applyFont="1" applyAlignment="1">
      <alignment horizontal="center" vertical="center" wrapText="1"/>
    </xf>
    <xf numFmtId="0" fontId="17" fillId="0" borderId="53" xfId="0" applyFont="1" applyBorder="1" applyAlignment="1">
      <alignment horizontal="center" vertical="center" wrapText="1" shrinkToFit="1"/>
    </xf>
    <xf numFmtId="0" fontId="0" fillId="0" borderId="8" xfId="0" applyBorder="1" applyAlignment="1">
      <alignment horizontal="center" vertical="center"/>
    </xf>
    <xf numFmtId="0" fontId="17" fillId="0" borderId="58" xfId="0" applyFont="1" applyBorder="1" applyAlignment="1">
      <alignment horizontal="center" vertical="center"/>
    </xf>
    <xf numFmtId="0" fontId="18" fillId="0" borderId="7" xfId="0" applyFont="1" applyBorder="1" applyAlignment="1">
      <alignment horizontal="right" vertical="center"/>
    </xf>
    <xf numFmtId="0" fontId="18" fillId="2" borderId="67" xfId="0" applyFont="1" applyFill="1" applyBorder="1" applyAlignment="1">
      <alignment horizontal="right" vertical="center"/>
    </xf>
    <xf numFmtId="176" fontId="20" fillId="3" borderId="51" xfId="0" applyNumberFormat="1" applyFont="1" applyFill="1" applyBorder="1" applyAlignment="1">
      <alignment horizontal="right" vertical="center"/>
    </xf>
    <xf numFmtId="177" fontId="20" fillId="3" borderId="47" xfId="0" applyNumberFormat="1" applyFont="1" applyFill="1" applyBorder="1" applyAlignment="1">
      <alignment horizontal="right" vertical="center"/>
    </xf>
    <xf numFmtId="177" fontId="20" fillId="3" borderId="44" xfId="0" applyNumberFormat="1" applyFont="1" applyFill="1" applyBorder="1" applyAlignment="1">
      <alignment horizontal="right" vertical="center"/>
    </xf>
    <xf numFmtId="177" fontId="20" fillId="3" borderId="39" xfId="0" applyNumberFormat="1" applyFont="1" applyFill="1" applyBorder="1" applyAlignment="1">
      <alignment horizontal="right" vertical="center"/>
    </xf>
    <xf numFmtId="176" fontId="20" fillId="2" borderId="51" xfId="0" applyNumberFormat="1" applyFont="1" applyFill="1" applyBorder="1" applyAlignment="1">
      <alignment horizontal="right" vertical="center"/>
    </xf>
    <xf numFmtId="177" fontId="20" fillId="2" borderId="47" xfId="0" applyNumberFormat="1" applyFont="1" applyFill="1" applyBorder="1" applyAlignment="1">
      <alignment horizontal="right" vertical="center"/>
    </xf>
    <xf numFmtId="177" fontId="20" fillId="2" borderId="44" xfId="0" applyNumberFormat="1" applyFont="1" applyFill="1" applyBorder="1" applyAlignment="1">
      <alignment horizontal="right" vertical="center"/>
    </xf>
    <xf numFmtId="177" fontId="20" fillId="0" borderId="47" xfId="0" applyNumberFormat="1" applyFont="1" applyBorder="1" applyAlignment="1">
      <alignment horizontal="right" vertical="center"/>
    </xf>
    <xf numFmtId="176" fontId="20" fillId="5" borderId="51" xfId="0" applyNumberFormat="1" applyFont="1" applyFill="1" applyBorder="1" applyAlignment="1">
      <alignment horizontal="right" vertical="center"/>
    </xf>
    <xf numFmtId="177" fontId="20" fillId="5" borderId="47" xfId="0" applyNumberFormat="1" applyFont="1" applyFill="1" applyBorder="1" applyAlignment="1">
      <alignment horizontal="right" vertical="center"/>
    </xf>
    <xf numFmtId="177" fontId="20" fillId="4" borderId="47" xfId="0" applyNumberFormat="1" applyFont="1" applyFill="1" applyBorder="1" applyAlignment="1">
      <alignment horizontal="right" vertical="center"/>
    </xf>
    <xf numFmtId="177" fontId="20" fillId="4" borderId="53" xfId="0" applyNumberFormat="1" applyFont="1" applyFill="1" applyBorder="1" applyAlignment="1">
      <alignment horizontal="right" vertical="center"/>
    </xf>
    <xf numFmtId="176" fontId="20" fillId="2" borderId="42" xfId="0" applyNumberFormat="1" applyFont="1" applyFill="1" applyBorder="1" applyAlignment="1">
      <alignment horizontal="right" vertical="center" shrinkToFit="1"/>
    </xf>
    <xf numFmtId="177" fontId="20" fillId="2" borderId="47" xfId="0" applyNumberFormat="1" applyFont="1" applyFill="1" applyBorder="1" applyAlignment="1">
      <alignment horizontal="right" vertical="center" shrinkToFit="1"/>
    </xf>
    <xf numFmtId="177" fontId="20" fillId="2" borderId="44" xfId="0" applyNumberFormat="1" applyFont="1" applyFill="1" applyBorder="1" applyAlignment="1">
      <alignment horizontal="right" vertical="center" shrinkToFit="1"/>
    </xf>
    <xf numFmtId="177" fontId="20" fillId="0" borderId="0" xfId="0" applyNumberFormat="1" applyFont="1" applyAlignment="1">
      <alignment horizontal="right" vertical="center" shrinkToFit="1"/>
    </xf>
    <xf numFmtId="177" fontId="20" fillId="2" borderId="53" xfId="0" applyNumberFormat="1" applyFont="1" applyFill="1" applyBorder="1" applyAlignment="1">
      <alignment horizontal="right" vertical="center" shrinkToFit="1"/>
    </xf>
    <xf numFmtId="176" fontId="20" fillId="3" borderId="51" xfId="0" applyNumberFormat="1" applyFont="1" applyFill="1" applyBorder="1" applyAlignment="1">
      <alignment horizontal="right" vertical="center" shrinkToFit="1"/>
    </xf>
    <xf numFmtId="177" fontId="20" fillId="3" borderId="47" xfId="0" applyNumberFormat="1" applyFont="1" applyFill="1" applyBorder="1" applyAlignment="1">
      <alignment horizontal="right" vertical="center" shrinkToFit="1"/>
    </xf>
    <xf numFmtId="177" fontId="20" fillId="3" borderId="44" xfId="0" applyNumberFormat="1" applyFont="1" applyFill="1" applyBorder="1" applyAlignment="1">
      <alignment horizontal="right" vertical="center" shrinkToFit="1"/>
    </xf>
    <xf numFmtId="177" fontId="20" fillId="3" borderId="53" xfId="0" applyNumberFormat="1" applyFont="1" applyFill="1" applyBorder="1" applyAlignment="1">
      <alignment horizontal="right" vertical="center" shrinkToFit="1"/>
    </xf>
    <xf numFmtId="0" fontId="17" fillId="5" borderId="105" xfId="0" applyFont="1" applyFill="1" applyBorder="1" applyAlignment="1">
      <alignment horizontal="center" vertical="center" shrinkToFit="1"/>
    </xf>
    <xf numFmtId="176" fontId="20" fillId="5" borderId="88" xfId="0" applyNumberFormat="1" applyFont="1" applyFill="1" applyBorder="1" applyAlignment="1">
      <alignment horizontal="right" vertical="center" shrinkToFit="1"/>
    </xf>
    <xf numFmtId="176" fontId="20" fillId="5" borderId="81" xfId="0" applyNumberFormat="1" applyFont="1" applyFill="1" applyBorder="1" applyAlignment="1">
      <alignment horizontal="right" vertical="center" shrinkToFit="1"/>
    </xf>
    <xf numFmtId="176" fontId="20" fillId="5" borderId="82" xfId="0" applyNumberFormat="1" applyFont="1" applyFill="1" applyBorder="1" applyAlignment="1">
      <alignment horizontal="right" vertical="center" shrinkToFit="1"/>
    </xf>
    <xf numFmtId="176" fontId="20" fillId="0" borderId="0" xfId="0" applyNumberFormat="1" applyFont="1" applyAlignment="1">
      <alignment horizontal="right" vertical="center" shrinkToFit="1"/>
    </xf>
    <xf numFmtId="0" fontId="17" fillId="0" borderId="106" xfId="0" applyFont="1" applyBorder="1" applyAlignment="1">
      <alignment horizontal="center" vertical="center"/>
    </xf>
    <xf numFmtId="176" fontId="20" fillId="0" borderId="93" xfId="0" applyNumberFormat="1" applyFont="1" applyBorder="1" applyAlignment="1">
      <alignment horizontal="right" vertical="center"/>
    </xf>
    <xf numFmtId="0" fontId="23" fillId="0" borderId="32" xfId="0" applyFont="1" applyBorder="1" applyAlignment="1">
      <alignment horizontal="left" vertical="center"/>
    </xf>
    <xf numFmtId="0" fontId="36" fillId="0" borderId="0" xfId="0" applyFont="1" applyAlignment="1">
      <alignment vertical="center" wrapText="1"/>
    </xf>
    <xf numFmtId="0" fontId="23" fillId="0" borderId="0" xfId="0" applyFont="1" applyAlignment="1">
      <alignment horizontal="left" vertical="center" shrinkToFit="1"/>
    </xf>
    <xf numFmtId="0" fontId="23" fillId="0" borderId="0" xfId="0" applyFont="1" applyAlignment="1">
      <alignment vertical="center" shrinkToFit="1"/>
    </xf>
    <xf numFmtId="0" fontId="23" fillId="4" borderId="0" xfId="0" applyFont="1" applyFill="1" applyAlignment="1">
      <alignment horizontal="left" vertical="center"/>
    </xf>
    <xf numFmtId="0" fontId="23" fillId="2" borderId="0" xfId="0" applyFont="1" applyFill="1">
      <alignment vertical="center"/>
    </xf>
    <xf numFmtId="0" fontId="23" fillId="2" borderId="0" xfId="0" applyFont="1" applyFill="1" applyAlignment="1">
      <alignment vertical="center" wrapText="1"/>
    </xf>
    <xf numFmtId="0" fontId="15" fillId="0" borderId="8" xfId="0" applyFont="1" applyBorder="1" applyAlignment="1">
      <alignment horizontal="left" vertical="center" wrapText="1"/>
    </xf>
    <xf numFmtId="0" fontId="17" fillId="0" borderId="92" xfId="0" applyFont="1" applyBorder="1" applyAlignment="1">
      <alignment horizontal="center"/>
    </xf>
    <xf numFmtId="0" fontId="17" fillId="0" borderId="91" xfId="0" applyFont="1" applyBorder="1" applyAlignment="1">
      <alignment horizontal="center" vertical="center" shrinkToFit="1"/>
    </xf>
    <xf numFmtId="0" fontId="17" fillId="0" borderId="0" xfId="0" applyFont="1" applyAlignment="1">
      <alignment horizontal="center" vertical="center" shrinkToFit="1"/>
    </xf>
    <xf numFmtId="0" fontId="17" fillId="0" borderId="50" xfId="0" applyFont="1" applyBorder="1" applyAlignment="1">
      <alignment horizontal="center" vertical="center" shrinkToFit="1"/>
    </xf>
    <xf numFmtId="0" fontId="17" fillId="0" borderId="59" xfId="0" applyFont="1" applyBorder="1" applyAlignment="1">
      <alignment horizontal="center" vertical="center" shrinkToFit="1"/>
    </xf>
    <xf numFmtId="0" fontId="31" fillId="0" borderId="50" xfId="0" applyFont="1" applyBorder="1" applyAlignment="1">
      <alignment horizontal="center" vertical="center" wrapText="1" shrinkToFit="1"/>
    </xf>
    <xf numFmtId="0" fontId="17" fillId="0" borderId="117" xfId="0" applyFont="1" applyBorder="1" applyAlignment="1">
      <alignment horizontal="center" vertical="center" shrinkToFit="1"/>
    </xf>
    <xf numFmtId="0" fontId="15" fillId="0" borderId="120"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54" xfId="0" applyFont="1" applyBorder="1" applyAlignment="1">
      <alignment horizontal="center" vertical="center" shrinkToFit="1"/>
    </xf>
    <xf numFmtId="0" fontId="15" fillId="0" borderId="95" xfId="0" applyFont="1" applyBorder="1" applyAlignment="1">
      <alignment horizontal="center" vertical="center" shrinkToFit="1"/>
    </xf>
    <xf numFmtId="0" fontId="15" fillId="0" borderId="117" xfId="0" applyFont="1" applyBorder="1" applyAlignment="1">
      <alignment horizontal="center" vertical="center" shrinkToFit="1"/>
    </xf>
    <xf numFmtId="0" fontId="17" fillId="0" borderId="61" xfId="0" applyFont="1" applyBorder="1" applyAlignment="1">
      <alignment horizontal="center" vertical="center"/>
    </xf>
    <xf numFmtId="0" fontId="31" fillId="0" borderId="59" xfId="0" applyFont="1" applyBorder="1" applyAlignment="1">
      <alignment horizontal="center" vertical="center" wrapText="1"/>
    </xf>
    <xf numFmtId="0" fontId="17" fillId="0" borderId="60" xfId="0" applyFont="1" applyBorder="1" applyAlignment="1">
      <alignment horizontal="center" vertical="top"/>
    </xf>
    <xf numFmtId="0" fontId="17" fillId="0" borderId="45" xfId="0" applyFont="1" applyBorder="1" applyAlignment="1">
      <alignment horizontal="center" vertical="center" wrapText="1" shrinkToFit="1"/>
    </xf>
    <xf numFmtId="0" fontId="17" fillId="0" borderId="46"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57" xfId="0" applyFont="1" applyBorder="1" applyAlignment="1">
      <alignment horizontal="center" vertical="center" shrinkToFit="1"/>
    </xf>
    <xf numFmtId="0" fontId="17" fillId="0" borderId="95" xfId="0" applyFont="1" applyBorder="1" applyAlignment="1">
      <alignment horizontal="center" vertical="center" shrinkToFit="1"/>
    </xf>
    <xf numFmtId="0" fontId="17" fillId="0" borderId="54" xfId="0" applyFont="1" applyBorder="1" applyAlignment="1">
      <alignment horizontal="center" vertical="center" shrinkToFit="1"/>
    </xf>
    <xf numFmtId="0" fontId="31" fillId="0" borderId="95" xfId="0" applyFont="1" applyBorder="1" applyAlignment="1">
      <alignment horizontal="center" vertical="center" wrapText="1"/>
    </xf>
    <xf numFmtId="0" fontId="17" fillId="0" borderId="57" xfId="0" applyFont="1" applyBorder="1" applyAlignment="1">
      <alignment horizontal="center" vertical="center"/>
    </xf>
    <xf numFmtId="0" fontId="17" fillId="0" borderId="12" xfId="0" applyFont="1" applyBorder="1" applyAlignment="1">
      <alignment horizontal="left" vertical="center"/>
    </xf>
    <xf numFmtId="0" fontId="15" fillId="0" borderId="63" xfId="7" applyFont="1" applyBorder="1" applyAlignment="1">
      <alignment horizontal="right" vertical="center"/>
    </xf>
    <xf numFmtId="0" fontId="15" fillId="0" borderId="98" xfId="7" applyFont="1" applyBorder="1" applyAlignment="1">
      <alignment horizontal="right" vertical="center"/>
    </xf>
    <xf numFmtId="0" fontId="15" fillId="0" borderId="8" xfId="7" applyFont="1" applyBorder="1" applyAlignment="1">
      <alignment horizontal="right" vertical="center"/>
    </xf>
    <xf numFmtId="176" fontId="20" fillId="3" borderId="89" xfId="0" applyNumberFormat="1" applyFont="1" applyFill="1" applyBorder="1" applyAlignment="1">
      <alignment horizontal="right" vertical="center"/>
    </xf>
    <xf numFmtId="0" fontId="17" fillId="0" borderId="8" xfId="0" applyFont="1" applyBorder="1" applyAlignment="1">
      <alignment horizontal="distributed" vertical="center" justifyLastLine="1"/>
    </xf>
    <xf numFmtId="176" fontId="20" fillId="3" borderId="8" xfId="0" quotePrefix="1" applyNumberFormat="1" applyFont="1" applyFill="1" applyBorder="1" applyAlignment="1">
      <alignment horizontal="right" vertical="center"/>
    </xf>
    <xf numFmtId="176" fontId="20" fillId="3" borderId="53" xfId="0" quotePrefix="1" applyNumberFormat="1" applyFont="1" applyFill="1" applyBorder="1" applyAlignment="1">
      <alignment horizontal="right" vertical="center"/>
    </xf>
    <xf numFmtId="176" fontId="20" fillId="3" borderId="51" xfId="0" quotePrefix="1" applyNumberFormat="1" applyFont="1" applyFill="1" applyBorder="1" applyAlignment="1">
      <alignment horizontal="right" vertical="center"/>
    </xf>
    <xf numFmtId="176" fontId="20" fillId="0" borderId="53" xfId="0" quotePrefix="1" applyNumberFormat="1" applyFont="1" applyBorder="1" applyAlignment="1">
      <alignment horizontal="right" vertical="center"/>
    </xf>
    <xf numFmtId="176" fontId="21" fillId="2" borderId="53" xfId="0" applyNumberFormat="1" applyFont="1" applyFill="1" applyBorder="1" applyAlignment="1">
      <alignment horizontal="right" vertical="center"/>
    </xf>
    <xf numFmtId="176" fontId="20" fillId="5" borderId="78" xfId="0" applyNumberFormat="1" applyFont="1" applyFill="1" applyBorder="1" applyAlignment="1">
      <alignment vertical="center" shrinkToFit="1"/>
    </xf>
    <xf numFmtId="176" fontId="20" fillId="5" borderId="81" xfId="0" applyNumberFormat="1" applyFont="1" applyFill="1" applyBorder="1" applyAlignment="1">
      <alignment vertical="center" shrinkToFit="1"/>
    </xf>
    <xf numFmtId="176" fontId="20" fillId="5" borderId="82" xfId="0" applyNumberFormat="1" applyFont="1" applyFill="1" applyBorder="1" applyAlignment="1">
      <alignment vertical="center" shrinkToFit="1"/>
    </xf>
    <xf numFmtId="176" fontId="20" fillId="5" borderId="113" xfId="0" applyNumberFormat="1" applyFont="1" applyFill="1" applyBorder="1" applyAlignment="1">
      <alignment vertical="center" shrinkToFit="1"/>
    </xf>
    <xf numFmtId="176" fontId="20" fillId="5" borderId="88" xfId="0" applyNumberFormat="1" applyFont="1" applyFill="1" applyBorder="1" applyAlignment="1">
      <alignment vertical="center" shrinkToFit="1"/>
    </xf>
    <xf numFmtId="177" fontId="20" fillId="5" borderId="81" xfId="0" applyNumberFormat="1" applyFont="1" applyFill="1" applyBorder="1" applyAlignment="1">
      <alignment vertical="center" shrinkToFit="1"/>
    </xf>
    <xf numFmtId="176" fontId="20" fillId="0" borderId="0" xfId="0" applyNumberFormat="1" applyFont="1" applyAlignment="1">
      <alignment vertical="center" shrinkToFit="1"/>
    </xf>
    <xf numFmtId="0" fontId="20" fillId="5" borderId="78" xfId="0" applyFont="1" applyFill="1" applyBorder="1" applyAlignment="1">
      <alignment vertical="center" shrinkToFit="1"/>
    </xf>
    <xf numFmtId="38" fontId="20" fillId="5" borderId="82" xfId="1" applyFont="1" applyFill="1" applyBorder="1" applyAlignment="1">
      <alignment vertical="center" shrinkToFit="1"/>
    </xf>
    <xf numFmtId="0" fontId="17" fillId="0" borderId="8" xfId="0" applyFont="1" applyBorder="1" applyAlignment="1">
      <alignment vertical="center" shrinkToFit="1"/>
    </xf>
    <xf numFmtId="176" fontId="20" fillId="5" borderId="83" xfId="0" applyNumberFormat="1" applyFont="1" applyFill="1" applyBorder="1" applyAlignment="1">
      <alignment vertical="center" shrinkToFit="1"/>
    </xf>
    <xf numFmtId="0" fontId="0" fillId="0" borderId="0" xfId="0" applyAlignment="1">
      <alignment vertical="center" shrinkToFit="1"/>
    </xf>
    <xf numFmtId="177" fontId="20" fillId="0" borderId="84" xfId="0" applyNumberFormat="1" applyFont="1" applyBorder="1" applyAlignment="1">
      <alignment horizontal="right" vertical="center"/>
    </xf>
    <xf numFmtId="176" fontId="20" fillId="0" borderId="87" xfId="0" applyNumberFormat="1" applyFont="1" applyBorder="1" applyAlignment="1">
      <alignment horizontal="right" vertical="center"/>
    </xf>
    <xf numFmtId="176" fontId="20" fillId="0" borderId="76" xfId="0" applyNumberFormat="1" applyFont="1" applyBorder="1" applyAlignment="1">
      <alignment horizontal="righ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5" fillId="0" borderId="0" xfId="0" applyFont="1" applyAlignment="1">
      <alignment horizontal="left" vertical="top"/>
    </xf>
    <xf numFmtId="0" fontId="30" fillId="0" borderId="0" xfId="0" applyFont="1">
      <alignment vertical="center"/>
    </xf>
    <xf numFmtId="190" fontId="0" fillId="0" borderId="0" xfId="0" applyNumberFormat="1">
      <alignment vertical="center"/>
    </xf>
    <xf numFmtId="0" fontId="11" fillId="0" borderId="0" xfId="0" applyFont="1" applyAlignment="1">
      <alignment horizontal="left" vertical="center"/>
    </xf>
    <xf numFmtId="0" fontId="17" fillId="0" borderId="38" xfId="0" applyFont="1" applyBorder="1" applyAlignment="1">
      <alignment horizontal="center" shrinkToFit="1"/>
    </xf>
    <xf numFmtId="0" fontId="17" fillId="0" borderId="39" xfId="0" applyFont="1" applyBorder="1" applyAlignment="1">
      <alignment horizontal="center" shrinkToFit="1"/>
    </xf>
    <xf numFmtId="0" fontId="15" fillId="0" borderId="58" xfId="0" applyFont="1" applyBorder="1" applyAlignment="1">
      <alignment horizontal="center" vertical="top" shrinkToFit="1"/>
    </xf>
    <xf numFmtId="0" fontId="18" fillId="0" borderId="66" xfId="0" applyFont="1" applyBorder="1" applyAlignment="1">
      <alignment horizontal="center" vertical="center"/>
    </xf>
    <xf numFmtId="190" fontId="18" fillId="0" borderId="65" xfId="0" applyNumberFormat="1" applyFont="1" applyBorder="1">
      <alignment vertical="center"/>
    </xf>
    <xf numFmtId="176" fontId="20" fillId="3" borderId="40" xfId="0" quotePrefix="1" applyNumberFormat="1" applyFont="1" applyFill="1" applyBorder="1" applyAlignment="1">
      <alignment horizontal="right" vertical="center"/>
    </xf>
    <xf numFmtId="176" fontId="20" fillId="3" borderId="39" xfId="0" applyNumberFormat="1" applyFont="1" applyFill="1" applyBorder="1" applyAlignment="1">
      <alignment horizontal="center" vertical="center"/>
    </xf>
    <xf numFmtId="190" fontId="20" fillId="3" borderId="38" xfId="0" applyNumberFormat="1" applyFont="1" applyFill="1" applyBorder="1" applyAlignment="1">
      <alignment horizontal="right" vertical="center"/>
    </xf>
    <xf numFmtId="177" fontId="20" fillId="3" borderId="38" xfId="0" applyNumberFormat="1" applyFont="1" applyFill="1" applyBorder="1" applyAlignment="1">
      <alignment horizontal="right" vertical="center"/>
    </xf>
    <xf numFmtId="177" fontId="20" fillId="3" borderId="40" xfId="0" applyNumberFormat="1" applyFont="1" applyFill="1" applyBorder="1" applyAlignment="1">
      <alignment horizontal="right" vertical="center"/>
    </xf>
    <xf numFmtId="176" fontId="20" fillId="5" borderId="38" xfId="0" applyNumberFormat="1" applyFont="1" applyFill="1" applyBorder="1" applyAlignment="1">
      <alignment horizontal="right" vertical="center"/>
    </xf>
    <xf numFmtId="176" fontId="20" fillId="2" borderId="47" xfId="0" applyNumberFormat="1" applyFont="1" applyFill="1" applyBorder="1" applyAlignment="1">
      <alignment horizontal="center" vertical="center"/>
    </xf>
    <xf numFmtId="190" fontId="20" fillId="2" borderId="53" xfId="0" applyNumberFormat="1" applyFont="1" applyFill="1" applyBorder="1" applyAlignment="1">
      <alignment horizontal="right" vertical="center"/>
    </xf>
    <xf numFmtId="177" fontId="20" fillId="4" borderId="42" xfId="0" applyNumberFormat="1" applyFont="1" applyFill="1" applyBorder="1" applyAlignment="1">
      <alignment horizontal="right" vertical="center"/>
    </xf>
    <xf numFmtId="176" fontId="20" fillId="3" borderId="47" xfId="0" applyNumberFormat="1" applyFont="1" applyFill="1" applyBorder="1" applyAlignment="1">
      <alignment horizontal="center" vertical="center"/>
    </xf>
    <xf numFmtId="190" fontId="20" fillId="3" borderId="53" xfId="0" applyNumberFormat="1" applyFont="1" applyFill="1" applyBorder="1" applyAlignment="1">
      <alignment horizontal="right" vertical="center"/>
    </xf>
    <xf numFmtId="177" fontId="20" fillId="3" borderId="42" xfId="0" applyNumberFormat="1" applyFont="1" applyFill="1" applyBorder="1" applyAlignment="1">
      <alignment horizontal="right" vertical="center"/>
    </xf>
    <xf numFmtId="177" fontId="20" fillId="2" borderId="42" xfId="0" applyNumberFormat="1" applyFont="1" applyFill="1" applyBorder="1" applyAlignment="1">
      <alignment horizontal="right" vertical="center"/>
    </xf>
    <xf numFmtId="176" fontId="20" fillId="5" borderId="47" xfId="0" applyNumberFormat="1" applyFont="1" applyFill="1" applyBorder="1" applyAlignment="1">
      <alignment horizontal="center" vertical="center"/>
    </xf>
    <xf numFmtId="190" fontId="20" fillId="5" borderId="53" xfId="0" applyNumberFormat="1" applyFont="1" applyFill="1" applyBorder="1" applyAlignment="1">
      <alignment horizontal="right" vertical="center"/>
    </xf>
    <xf numFmtId="177" fontId="20" fillId="5" borderId="42" xfId="0" applyNumberFormat="1" applyFont="1" applyFill="1" applyBorder="1" applyAlignment="1">
      <alignment horizontal="right" vertical="center"/>
    </xf>
    <xf numFmtId="176" fontId="20" fillId="2" borderId="53" xfId="0" quotePrefix="1" applyNumberFormat="1" applyFont="1" applyFill="1" applyBorder="1" applyAlignment="1">
      <alignment horizontal="right" vertical="center"/>
    </xf>
    <xf numFmtId="176" fontId="20" fillId="0" borderId="47" xfId="0" applyNumberFormat="1" applyFont="1" applyBorder="1" applyAlignment="1">
      <alignment horizontal="center" vertical="center"/>
    </xf>
    <xf numFmtId="190" fontId="20" fillId="0" borderId="53" xfId="0" applyNumberFormat="1" applyFont="1" applyBorder="1" applyAlignment="1">
      <alignment horizontal="right" vertical="center"/>
    </xf>
    <xf numFmtId="177" fontId="20" fillId="0" borderId="42" xfId="0" applyNumberFormat="1" applyFont="1" applyBorder="1" applyAlignment="1">
      <alignment horizontal="right" vertical="center"/>
    </xf>
    <xf numFmtId="176" fontId="20" fillId="6" borderId="53" xfId="0" applyNumberFormat="1" applyFont="1" applyFill="1" applyBorder="1" applyAlignment="1">
      <alignment horizontal="right" vertical="center"/>
    </xf>
    <xf numFmtId="177" fontId="20" fillId="3" borderId="8" xfId="0" applyNumberFormat="1" applyFont="1" applyFill="1" applyBorder="1" applyAlignment="1">
      <alignment horizontal="right" vertical="center"/>
    </xf>
    <xf numFmtId="176" fontId="20" fillId="5" borderId="82" xfId="0" applyNumberFormat="1" applyFont="1" applyFill="1" applyBorder="1" applyAlignment="1">
      <alignment horizontal="center" vertical="center"/>
    </xf>
    <xf numFmtId="176" fontId="20" fillId="0" borderId="77" xfId="0" applyNumberFormat="1" applyFont="1" applyBorder="1" applyAlignment="1">
      <alignment horizontal="center" vertical="center"/>
    </xf>
    <xf numFmtId="190" fontId="20" fillId="0" borderId="75" xfId="0" applyNumberFormat="1" applyFont="1" applyBorder="1" applyAlignment="1">
      <alignment horizontal="right" vertical="center"/>
    </xf>
    <xf numFmtId="176" fontId="20" fillId="0" borderId="0" xfId="0" applyNumberFormat="1" applyFont="1" applyAlignment="1">
      <alignment horizontal="center" vertical="center"/>
    </xf>
    <xf numFmtId="190" fontId="20" fillId="0" borderId="0" xfId="0" applyNumberFormat="1" applyFont="1" applyAlignment="1">
      <alignment horizontal="right" vertical="center"/>
    </xf>
    <xf numFmtId="184" fontId="11" fillId="0" borderId="0" xfId="0" applyNumberFormat="1" applyFont="1">
      <alignment vertical="center"/>
    </xf>
    <xf numFmtId="186" fontId="0" fillId="0" borderId="0" xfId="0" applyNumberFormat="1" applyAlignment="1">
      <alignment horizontal="right" vertical="center"/>
    </xf>
    <xf numFmtId="186" fontId="0" fillId="0" borderId="0" xfId="0" applyNumberFormat="1">
      <alignment vertical="center"/>
    </xf>
    <xf numFmtId="184" fontId="11" fillId="0" borderId="0" xfId="0" applyNumberFormat="1" applyFont="1" applyAlignment="1">
      <alignment horizontal="left" vertical="center"/>
    </xf>
    <xf numFmtId="184" fontId="17" fillId="0" borderId="0" xfId="0" applyNumberFormat="1" applyFont="1" applyAlignment="1">
      <alignment horizontal="right" vertical="center"/>
    </xf>
    <xf numFmtId="185" fontId="17" fillId="0" borderId="59" xfId="0" applyNumberFormat="1" applyFont="1" applyBorder="1" applyAlignment="1">
      <alignment horizontal="center" vertical="center" shrinkToFit="1"/>
    </xf>
    <xf numFmtId="184" fontId="17" fillId="0" borderId="0" xfId="0" applyNumberFormat="1" applyFont="1">
      <alignment vertical="center"/>
    </xf>
    <xf numFmtId="186" fontId="17" fillId="0" borderId="59" xfId="0" applyNumberFormat="1" applyFont="1" applyBorder="1" applyAlignment="1">
      <alignment horizontal="center" vertical="center" shrinkToFit="1"/>
    </xf>
    <xf numFmtId="0" fontId="17" fillId="0" borderId="61" xfId="0" applyFont="1" applyBorder="1">
      <alignment vertical="center"/>
    </xf>
    <xf numFmtId="0" fontId="17" fillId="0" borderId="111" xfId="0" applyFont="1" applyBorder="1">
      <alignment vertical="center"/>
    </xf>
    <xf numFmtId="0" fontId="17" fillId="0" borderId="44" xfId="0" applyFont="1" applyBorder="1">
      <alignment vertical="center"/>
    </xf>
    <xf numFmtId="184" fontId="17" fillId="0" borderId="59" xfId="0" applyNumberFormat="1" applyFont="1" applyBorder="1" applyAlignment="1">
      <alignment horizontal="center" vertical="center" shrinkToFit="1"/>
    </xf>
    <xf numFmtId="184" fontId="26" fillId="0" borderId="59" xfId="0" applyNumberFormat="1" applyFont="1" applyBorder="1" applyAlignment="1">
      <alignment horizontal="center" vertical="center" shrinkToFit="1"/>
    </xf>
    <xf numFmtId="184" fontId="17" fillId="0" borderId="111" xfId="0" applyNumberFormat="1" applyFont="1" applyBorder="1">
      <alignment vertical="center"/>
    </xf>
    <xf numFmtId="186" fontId="17" fillId="0" borderId="95" xfId="0" applyNumberFormat="1" applyFont="1" applyBorder="1" applyAlignment="1">
      <alignment horizontal="center" vertical="center" shrinkToFit="1"/>
    </xf>
    <xf numFmtId="186" fontId="17" fillId="0" borderId="54" xfId="0" applyNumberFormat="1" applyFont="1" applyBorder="1" applyAlignment="1">
      <alignment horizontal="center" vertical="center" shrinkToFit="1"/>
    </xf>
    <xf numFmtId="186" fontId="17" fillId="0" borderId="124" xfId="0" applyNumberFormat="1" applyFont="1" applyBorder="1" applyAlignment="1">
      <alignment horizontal="center" vertical="center" shrinkToFit="1"/>
    </xf>
    <xf numFmtId="184" fontId="18" fillId="0" borderId="91" xfId="0" applyNumberFormat="1" applyFont="1" applyBorder="1" applyAlignment="1">
      <alignment horizontal="right" vertical="center"/>
    </xf>
    <xf numFmtId="185" fontId="18" fillId="0" borderId="43" xfId="0" applyNumberFormat="1" applyFont="1" applyBorder="1" applyAlignment="1">
      <alignment horizontal="right" vertical="center"/>
    </xf>
    <xf numFmtId="184" fontId="18" fillId="0" borderId="43" xfId="0" applyNumberFormat="1" applyFont="1" applyBorder="1" applyAlignment="1">
      <alignment horizontal="right" vertical="center"/>
    </xf>
    <xf numFmtId="186" fontId="18" fillId="0" borderId="43" xfId="0" applyNumberFormat="1" applyFont="1" applyBorder="1" applyAlignment="1">
      <alignment horizontal="right" vertical="center"/>
    </xf>
    <xf numFmtId="0" fontId="18" fillId="0" borderId="43" xfId="0" applyFont="1" applyBorder="1" applyAlignment="1">
      <alignment horizontal="right" vertical="center"/>
    </xf>
    <xf numFmtId="0" fontId="18" fillId="0" borderId="92" xfId="0" applyFont="1" applyBorder="1" applyAlignment="1">
      <alignment horizontal="right" vertical="center"/>
    </xf>
    <xf numFmtId="0" fontId="18" fillId="0" borderId="55" xfId="0" applyFont="1" applyBorder="1" applyAlignment="1">
      <alignment horizontal="right" vertical="center"/>
    </xf>
    <xf numFmtId="0" fontId="18" fillId="0" borderId="52" xfId="0" applyFont="1" applyBorder="1" applyAlignment="1">
      <alignment horizontal="right" vertical="center"/>
    </xf>
    <xf numFmtId="0" fontId="18" fillId="0" borderId="91" xfId="0" applyFont="1" applyBorder="1" applyAlignment="1">
      <alignment horizontal="right" vertical="center"/>
    </xf>
    <xf numFmtId="184" fontId="18" fillId="0" borderId="55" xfId="0" applyNumberFormat="1" applyFont="1" applyBorder="1" applyAlignment="1">
      <alignment horizontal="right" vertical="center"/>
    </xf>
    <xf numFmtId="186" fontId="18" fillId="0" borderId="52" xfId="0" applyNumberFormat="1" applyFont="1" applyBorder="1" applyAlignment="1">
      <alignment horizontal="right" vertical="center"/>
    </xf>
    <xf numFmtId="186" fontId="18" fillId="0" borderId="66" xfId="0" applyNumberFormat="1" applyFont="1" applyBorder="1" applyAlignment="1">
      <alignment horizontal="right" vertical="center"/>
    </xf>
    <xf numFmtId="186" fontId="18" fillId="0" borderId="92" xfId="0" applyNumberFormat="1" applyFont="1" applyBorder="1" applyAlignment="1">
      <alignment horizontal="right" vertical="center"/>
    </xf>
    <xf numFmtId="186" fontId="18" fillId="0" borderId="65" xfId="0" applyNumberFormat="1" applyFont="1" applyBorder="1" applyAlignment="1">
      <alignment horizontal="right" vertical="center"/>
    </xf>
    <xf numFmtId="186" fontId="18" fillId="0" borderId="125" xfId="0" applyNumberFormat="1" applyFont="1" applyBorder="1" applyAlignment="1">
      <alignment horizontal="right" vertical="center"/>
    </xf>
    <xf numFmtId="176" fontId="20" fillId="3" borderId="73" xfId="0" applyNumberFormat="1" applyFont="1" applyFill="1" applyBorder="1" applyAlignment="1" applyProtection="1">
      <alignment horizontal="right" vertical="center"/>
      <protection locked="0"/>
    </xf>
    <xf numFmtId="177" fontId="20" fillId="3" borderId="89" xfId="0" applyNumberFormat="1" applyFont="1" applyFill="1" applyBorder="1" applyAlignment="1">
      <alignment horizontal="right" vertical="center"/>
    </xf>
    <xf numFmtId="176" fontId="20" fillId="3" borderId="38" xfId="0" applyNumberFormat="1" applyFont="1" applyFill="1" applyBorder="1" applyAlignment="1">
      <alignment horizontal="right" vertical="center" shrinkToFit="1"/>
    </xf>
    <xf numFmtId="177" fontId="20" fillId="3" borderId="39" xfId="0" applyNumberFormat="1" applyFont="1" applyFill="1" applyBorder="1" applyAlignment="1">
      <alignment horizontal="right" vertical="center" shrinkToFit="1"/>
    </xf>
    <xf numFmtId="176" fontId="20" fillId="3" borderId="40" xfId="0" applyNumberFormat="1" applyFont="1" applyFill="1" applyBorder="1" applyAlignment="1">
      <alignment horizontal="right" vertical="center" shrinkToFit="1"/>
    </xf>
    <xf numFmtId="177" fontId="20" fillId="3" borderId="38" xfId="0" applyNumberFormat="1" applyFont="1" applyFill="1" applyBorder="1" applyAlignment="1">
      <alignment horizontal="right" vertical="center" shrinkToFit="1"/>
    </xf>
    <xf numFmtId="176" fontId="20" fillId="3" borderId="73" xfId="0" applyNumberFormat="1" applyFont="1" applyFill="1" applyBorder="1" applyAlignment="1">
      <alignment horizontal="right" vertical="center" shrinkToFit="1"/>
    </xf>
    <xf numFmtId="177" fontId="20" fillId="3" borderId="123" xfId="0" applyNumberFormat="1" applyFont="1" applyFill="1" applyBorder="1" applyAlignment="1">
      <alignment horizontal="right" vertical="center"/>
    </xf>
    <xf numFmtId="176" fontId="20" fillId="2" borderId="53" xfId="0" applyNumberFormat="1" applyFont="1" applyFill="1" applyBorder="1" applyAlignment="1">
      <alignment horizontal="right" vertical="center" shrinkToFit="1"/>
    </xf>
    <xf numFmtId="177" fontId="20" fillId="2" borderId="123" xfId="0" applyNumberFormat="1" applyFont="1" applyFill="1" applyBorder="1" applyAlignment="1">
      <alignment horizontal="right" vertical="center"/>
    </xf>
    <xf numFmtId="176" fontId="20" fillId="3" borderId="53" xfId="0" applyNumberFormat="1" applyFont="1" applyFill="1" applyBorder="1" applyAlignment="1">
      <alignment horizontal="right" vertical="center" shrinkToFit="1"/>
    </xf>
    <xf numFmtId="176" fontId="20" fillId="3" borderId="42" xfId="0" applyNumberFormat="1" applyFont="1" applyFill="1" applyBorder="1" applyAlignment="1">
      <alignment horizontal="right" vertical="center" shrinkToFit="1"/>
    </xf>
    <xf numFmtId="176" fontId="20" fillId="0" borderId="53" xfId="0" applyNumberFormat="1" applyFont="1" applyBorder="1" applyAlignment="1">
      <alignment horizontal="right" vertical="center" shrinkToFit="1"/>
    </xf>
    <xf numFmtId="177" fontId="20" fillId="0" borderId="44" xfId="0" applyNumberFormat="1" applyFont="1" applyBorder="1" applyAlignment="1">
      <alignment horizontal="right" vertical="center" shrinkToFit="1"/>
    </xf>
    <xf numFmtId="38" fontId="17" fillId="0" borderId="53" xfId="1" applyFont="1" applyBorder="1" applyAlignment="1">
      <alignment horizontal="right" vertical="center"/>
    </xf>
    <xf numFmtId="176" fontId="20" fillId="0" borderId="42" xfId="0" applyNumberFormat="1" applyFont="1" applyBorder="1" applyAlignment="1">
      <alignment horizontal="right" vertical="center" shrinkToFit="1"/>
    </xf>
    <xf numFmtId="177" fontId="20" fillId="0" borderId="53" xfId="0" applyNumberFormat="1" applyFont="1" applyBorder="1" applyAlignment="1">
      <alignment horizontal="right" vertical="center" shrinkToFit="1"/>
    </xf>
    <xf numFmtId="176" fontId="20" fillId="2" borderId="126" xfId="0" applyNumberFormat="1" applyFont="1" applyFill="1" applyBorder="1" applyAlignment="1">
      <alignment horizontal="right" vertical="center"/>
    </xf>
    <xf numFmtId="177" fontId="20" fillId="5" borderId="51" xfId="0" applyNumberFormat="1" applyFont="1" applyFill="1" applyBorder="1" applyAlignment="1">
      <alignment horizontal="right" vertical="center"/>
    </xf>
    <xf numFmtId="176" fontId="20" fillId="5" borderId="53" xfId="0" applyNumberFormat="1" applyFont="1" applyFill="1" applyBorder="1" applyAlignment="1">
      <alignment horizontal="right" vertical="center" shrinkToFit="1"/>
    </xf>
    <xf numFmtId="177" fontId="20" fillId="5" borderId="44" xfId="0" applyNumberFormat="1" applyFont="1" applyFill="1" applyBorder="1" applyAlignment="1">
      <alignment horizontal="right" vertical="center" shrinkToFit="1"/>
    </xf>
    <xf numFmtId="38" fontId="17" fillId="5" borderId="53" xfId="1" applyFont="1" applyFill="1" applyBorder="1" applyAlignment="1">
      <alignment horizontal="right" vertical="center"/>
    </xf>
    <xf numFmtId="177" fontId="20" fillId="5" borderId="47" xfId="0" applyNumberFormat="1" applyFont="1" applyFill="1" applyBorder="1" applyAlignment="1">
      <alignment horizontal="right" vertical="center" shrinkToFit="1"/>
    </xf>
    <xf numFmtId="176" fontId="20" fillId="5" borderId="42" xfId="0" applyNumberFormat="1" applyFont="1" applyFill="1" applyBorder="1" applyAlignment="1">
      <alignment horizontal="right" vertical="center" shrinkToFit="1"/>
    </xf>
    <xf numFmtId="177" fontId="20" fillId="5" borderId="53" xfId="0" applyNumberFormat="1" applyFont="1" applyFill="1" applyBorder="1" applyAlignment="1">
      <alignment horizontal="right" vertical="center" shrinkToFit="1"/>
    </xf>
    <xf numFmtId="176" fontId="20" fillId="5" borderId="51" xfId="0" applyNumberFormat="1" applyFont="1" applyFill="1" applyBorder="1" applyAlignment="1">
      <alignment horizontal="right" vertical="center" shrinkToFit="1"/>
    </xf>
    <xf numFmtId="176" fontId="20" fillId="5" borderId="126" xfId="0" applyNumberFormat="1" applyFont="1" applyFill="1" applyBorder="1" applyAlignment="1">
      <alignment horizontal="right" vertical="center"/>
    </xf>
    <xf numFmtId="177" fontId="20" fillId="2" borderId="51" xfId="0" applyNumberFormat="1" applyFont="1" applyFill="1" applyBorder="1" applyAlignment="1">
      <alignment horizontal="right" vertical="center"/>
    </xf>
    <xf numFmtId="176" fontId="20" fillId="0" borderId="51" xfId="0" applyNumberFormat="1" applyFont="1" applyBorder="1" applyAlignment="1">
      <alignment horizontal="right" vertical="center" shrinkToFit="1"/>
    </xf>
    <xf numFmtId="177" fontId="20" fillId="3" borderId="51" xfId="0" applyNumberFormat="1" applyFont="1" applyFill="1" applyBorder="1" applyAlignment="1">
      <alignment horizontal="right" vertical="center"/>
    </xf>
    <xf numFmtId="176" fontId="20" fillId="2" borderId="51" xfId="0" applyNumberFormat="1" applyFont="1" applyFill="1" applyBorder="1" applyAlignment="1">
      <alignment horizontal="right" vertical="center" shrinkToFit="1"/>
    </xf>
    <xf numFmtId="177" fontId="0" fillId="2" borderId="0" xfId="0" applyNumberFormat="1" applyFill="1" applyAlignment="1">
      <alignment horizontal="right" vertical="center"/>
    </xf>
    <xf numFmtId="177" fontId="20" fillId="0" borderId="47" xfId="0" applyNumberFormat="1" applyFont="1" applyBorder="1" applyAlignment="1">
      <alignment horizontal="right" vertical="center" shrinkToFit="1"/>
    </xf>
    <xf numFmtId="177" fontId="20" fillId="0" borderId="123" xfId="0" applyNumberFormat="1" applyFont="1" applyBorder="1" applyAlignment="1">
      <alignment horizontal="right" vertical="center"/>
    </xf>
    <xf numFmtId="177" fontId="20" fillId="5" borderId="123" xfId="0" applyNumberFormat="1" applyFont="1" applyFill="1" applyBorder="1" applyAlignment="1">
      <alignment horizontal="right" vertical="center"/>
    </xf>
    <xf numFmtId="176" fontId="20" fillId="0" borderId="44" xfId="0" quotePrefix="1" applyNumberFormat="1" applyFont="1" applyBorder="1" applyAlignment="1">
      <alignment horizontal="right" vertical="center"/>
    </xf>
    <xf numFmtId="177" fontId="20" fillId="0" borderId="53" xfId="0" quotePrefix="1" applyNumberFormat="1" applyFont="1" applyBorder="1" applyAlignment="1">
      <alignment horizontal="right" vertical="center"/>
    </xf>
    <xf numFmtId="176" fontId="20" fillId="3" borderId="8" xfId="0" applyNumberFormat="1" applyFont="1" applyFill="1" applyBorder="1" applyAlignment="1">
      <alignment horizontal="right" vertical="center" shrinkToFit="1"/>
    </xf>
    <xf numFmtId="176" fontId="20" fillId="3" borderId="126" xfId="0" applyNumberFormat="1" applyFont="1" applyFill="1" applyBorder="1" applyAlignment="1">
      <alignment horizontal="right" vertical="center"/>
    </xf>
    <xf numFmtId="176" fontId="20" fillId="2" borderId="8" xfId="0" applyNumberFormat="1" applyFont="1" applyFill="1" applyBorder="1" applyAlignment="1">
      <alignment horizontal="right" vertical="center" shrinkToFit="1"/>
    </xf>
    <xf numFmtId="176" fontId="20" fillId="2" borderId="126" xfId="0" applyNumberFormat="1" applyFont="1" applyFill="1" applyBorder="1" applyAlignment="1">
      <alignment horizontal="right" vertical="center" shrinkToFit="1"/>
    </xf>
    <xf numFmtId="177" fontId="20" fillId="3" borderId="51" xfId="0" applyNumberFormat="1" applyFont="1" applyFill="1" applyBorder="1" applyAlignment="1">
      <alignment horizontal="right" vertical="center" shrinkToFit="1"/>
    </xf>
    <xf numFmtId="176" fontId="20" fillId="3" borderId="126" xfId="0" applyNumberFormat="1" applyFont="1" applyFill="1" applyBorder="1" applyAlignment="1">
      <alignment horizontal="right" vertical="center" shrinkToFit="1"/>
    </xf>
    <xf numFmtId="176" fontId="20" fillId="5" borderId="79" xfId="0" applyNumberFormat="1" applyFont="1" applyFill="1" applyBorder="1">
      <alignment vertical="center"/>
    </xf>
    <xf numFmtId="176" fontId="20" fillId="5" borderId="88" xfId="0" applyNumberFormat="1" applyFont="1" applyFill="1" applyBorder="1" applyProtection="1">
      <alignment vertical="center"/>
      <protection locked="0"/>
    </xf>
    <xf numFmtId="176" fontId="20" fillId="5" borderId="81" xfId="0" applyNumberFormat="1" applyFont="1" applyFill="1" applyBorder="1" applyProtection="1">
      <alignment vertical="center"/>
      <protection locked="0"/>
    </xf>
    <xf numFmtId="176" fontId="20" fillId="5" borderId="78" xfId="0" applyNumberFormat="1" applyFont="1" applyFill="1" applyBorder="1" applyProtection="1">
      <alignment vertical="center"/>
      <protection locked="0"/>
    </xf>
    <xf numFmtId="176" fontId="20" fillId="5" borderId="113" xfId="0" applyNumberFormat="1" applyFont="1" applyFill="1" applyBorder="1" applyAlignment="1" applyProtection="1">
      <alignment horizontal="right" vertical="center"/>
      <protection locked="0"/>
    </xf>
    <xf numFmtId="176" fontId="20" fillId="5" borderId="127" xfId="0" applyNumberFormat="1" applyFont="1" applyFill="1" applyBorder="1" applyAlignment="1">
      <alignment vertical="center" shrinkToFit="1"/>
    </xf>
    <xf numFmtId="177" fontId="20" fillId="0" borderId="77" xfId="0" applyNumberFormat="1" applyFont="1" applyBorder="1">
      <alignment vertical="center"/>
    </xf>
    <xf numFmtId="177" fontId="20" fillId="0" borderId="76" xfId="0" applyNumberFormat="1" applyFont="1" applyBorder="1">
      <alignment vertical="center"/>
    </xf>
    <xf numFmtId="176" fontId="20" fillId="0" borderId="85" xfId="0" applyNumberFormat="1" applyFont="1" applyBorder="1">
      <alignment vertical="center"/>
    </xf>
    <xf numFmtId="176" fontId="20" fillId="0" borderId="93" xfId="0" applyNumberFormat="1" applyFont="1" applyBorder="1" applyProtection="1">
      <alignment vertical="center"/>
      <protection locked="0"/>
    </xf>
    <xf numFmtId="176" fontId="20" fillId="0" borderId="84" xfId="0" applyNumberFormat="1" applyFont="1" applyBorder="1" applyAlignment="1">
      <alignment vertical="center" shrinkToFit="1"/>
    </xf>
    <xf numFmtId="177" fontId="20" fillId="0" borderId="75" xfId="0" applyNumberFormat="1" applyFont="1" applyBorder="1" applyAlignment="1">
      <alignment vertical="center" shrinkToFit="1"/>
    </xf>
    <xf numFmtId="176" fontId="20" fillId="0" borderId="75" xfId="0" applyNumberFormat="1" applyFont="1" applyBorder="1" applyAlignment="1">
      <alignment vertical="center" shrinkToFit="1"/>
    </xf>
    <xf numFmtId="177" fontId="20" fillId="0" borderId="77" xfId="0" applyNumberFormat="1" applyFont="1" applyBorder="1" applyAlignment="1">
      <alignment vertical="center" shrinkToFit="1"/>
    </xf>
    <xf numFmtId="177" fontId="20" fillId="0" borderId="93" xfId="0" applyNumberFormat="1" applyFont="1" applyBorder="1" applyAlignment="1">
      <alignment vertical="center" shrinkToFit="1"/>
    </xf>
    <xf numFmtId="176" fontId="20" fillId="0" borderId="128" xfId="0" applyNumberFormat="1" applyFont="1" applyBorder="1" applyAlignment="1">
      <alignment vertical="center" shrinkToFit="1"/>
    </xf>
    <xf numFmtId="177" fontId="20" fillId="0" borderId="77" xfId="0" applyNumberFormat="1" applyFont="1" applyBorder="1" applyAlignment="1">
      <alignment horizontal="right" vertical="center" shrinkToFit="1"/>
    </xf>
    <xf numFmtId="177" fontId="20" fillId="0" borderId="0" xfId="0" applyNumberFormat="1" applyFont="1">
      <alignment vertical="center"/>
    </xf>
    <xf numFmtId="176" fontId="20" fillId="0" borderId="0" xfId="0" applyNumberFormat="1" applyFont="1" applyProtection="1">
      <alignment vertical="center"/>
      <protection locked="0"/>
    </xf>
    <xf numFmtId="177" fontId="20" fillId="0" borderId="0" xfId="0" applyNumberFormat="1" applyFont="1" applyProtection="1">
      <alignment vertical="center"/>
      <protection locked="0"/>
    </xf>
    <xf numFmtId="177" fontId="20" fillId="0" borderId="0" xfId="0" applyNumberFormat="1" applyFont="1" applyAlignment="1">
      <alignment vertical="center" shrinkToFit="1"/>
    </xf>
    <xf numFmtId="184" fontId="0" fillId="0" borderId="0" xfId="0" applyNumberFormat="1" applyAlignment="1">
      <alignment horizontal="right" vertical="center"/>
    </xf>
    <xf numFmtId="0" fontId="17" fillId="0" borderId="130" xfId="0" applyFont="1" applyBorder="1">
      <alignment vertical="center"/>
    </xf>
    <xf numFmtId="0" fontId="18" fillId="0" borderId="131" xfId="0" applyFont="1" applyBorder="1" applyAlignment="1">
      <alignment horizontal="right" vertical="center"/>
    </xf>
    <xf numFmtId="177" fontId="20" fillId="5" borderId="47" xfId="0" applyNumberFormat="1" applyFont="1" applyFill="1" applyBorder="1">
      <alignment vertical="center"/>
    </xf>
    <xf numFmtId="177" fontId="20" fillId="2" borderId="47" xfId="0" applyNumberFormat="1" applyFont="1" applyFill="1" applyBorder="1">
      <alignment vertical="center"/>
    </xf>
    <xf numFmtId="176" fontId="20" fillId="0" borderId="126" xfId="0" applyNumberFormat="1" applyFont="1" applyBorder="1" applyAlignment="1">
      <alignment horizontal="right" vertical="center"/>
    </xf>
    <xf numFmtId="177" fontId="20" fillId="0" borderId="47" xfId="0" applyNumberFormat="1" applyFont="1" applyBorder="1">
      <alignment vertical="center"/>
    </xf>
    <xf numFmtId="176" fontId="20" fillId="3" borderId="123" xfId="0" applyNumberFormat="1" applyFont="1" applyFill="1" applyBorder="1" applyAlignment="1">
      <alignment horizontal="right" vertical="center"/>
    </xf>
    <xf numFmtId="177" fontId="20" fillId="0" borderId="44" xfId="0" quotePrefix="1" applyNumberFormat="1" applyFont="1" applyBorder="1" applyAlignment="1">
      <alignment horizontal="right" vertical="center"/>
    </xf>
    <xf numFmtId="176" fontId="20" fillId="3" borderId="130" xfId="0" applyNumberFormat="1" applyFont="1" applyFill="1" applyBorder="1" applyAlignment="1">
      <alignment horizontal="right" vertical="center"/>
    </xf>
    <xf numFmtId="176" fontId="20" fillId="5" borderId="132" xfId="0" applyNumberFormat="1" applyFont="1" applyFill="1" applyBorder="1" applyAlignment="1">
      <alignment horizontal="right" vertical="center"/>
    </xf>
    <xf numFmtId="176" fontId="20" fillId="0" borderId="133" xfId="0" applyNumberFormat="1" applyFont="1" applyBorder="1" applyAlignment="1">
      <alignment horizontal="right" vertical="center"/>
    </xf>
    <xf numFmtId="49" fontId="20" fillId="0" borderId="0" xfId="0" applyNumberFormat="1" applyFont="1" applyAlignment="1">
      <alignment horizontal="right" vertical="center"/>
    </xf>
    <xf numFmtId="38" fontId="20" fillId="0" borderId="0" xfId="1" applyFont="1" applyAlignment="1">
      <alignment horizontal="right" vertical="center"/>
    </xf>
    <xf numFmtId="0" fontId="17" fillId="5" borderId="105" xfId="0" applyFont="1" applyFill="1" applyBorder="1" applyAlignment="1">
      <alignment horizontal="center" vertical="center"/>
    </xf>
    <xf numFmtId="176" fontId="20" fillId="5" borderId="132" xfId="0" applyNumberFormat="1" applyFont="1" applyFill="1" applyBorder="1" applyAlignment="1" applyProtection="1">
      <alignment horizontal="right" vertical="center"/>
      <protection locked="0"/>
    </xf>
    <xf numFmtId="177" fontId="20" fillId="0" borderId="93" xfId="0" applyNumberFormat="1" applyFont="1" applyBorder="1" applyAlignment="1" applyProtection="1">
      <alignment horizontal="right" vertical="center"/>
      <protection locked="0"/>
    </xf>
    <xf numFmtId="177" fontId="20" fillId="0" borderId="87" xfId="0" applyNumberFormat="1" applyFont="1" applyBorder="1" applyAlignment="1" applyProtection="1">
      <alignment horizontal="right" vertical="center"/>
      <protection locked="0"/>
    </xf>
    <xf numFmtId="176" fontId="20" fillId="0" borderId="133" xfId="0" applyNumberFormat="1" applyFont="1" applyBorder="1" applyAlignment="1" applyProtection="1">
      <alignment horizontal="right" vertical="center"/>
      <protection locked="0"/>
    </xf>
    <xf numFmtId="177" fontId="20" fillId="3" borderId="126" xfId="0" applyNumberFormat="1" applyFont="1" applyFill="1" applyBorder="1" applyAlignment="1" applyProtection="1">
      <alignment horizontal="right" vertical="center"/>
      <protection locked="0"/>
    </xf>
    <xf numFmtId="177" fontId="20" fillId="0" borderId="126" xfId="0" applyNumberFormat="1" applyFont="1" applyBorder="1" applyAlignment="1" applyProtection="1">
      <alignment horizontal="right" vertical="center"/>
      <protection locked="0"/>
    </xf>
    <xf numFmtId="177" fontId="20" fillId="2" borderId="126" xfId="0" applyNumberFormat="1" applyFont="1" applyFill="1" applyBorder="1" applyAlignment="1" applyProtection="1">
      <alignment horizontal="right" vertical="center"/>
      <protection locked="0"/>
    </xf>
    <xf numFmtId="177" fontId="0" fillId="2" borderId="0" xfId="0" applyNumberFormat="1" applyFill="1">
      <alignment vertical="center"/>
    </xf>
    <xf numFmtId="177" fontId="20" fillId="5" borderId="126" xfId="0" applyNumberFormat="1" applyFont="1" applyFill="1" applyBorder="1" applyAlignment="1" applyProtection="1">
      <alignment horizontal="right" vertical="center"/>
      <protection locked="0"/>
    </xf>
    <xf numFmtId="177" fontId="20" fillId="0" borderId="93" xfId="0" applyNumberFormat="1" applyFont="1" applyBorder="1" applyProtection="1">
      <alignment vertical="center"/>
      <protection locked="0"/>
    </xf>
    <xf numFmtId="177" fontId="20" fillId="0" borderId="76" xfId="0" applyNumberFormat="1" applyFont="1" applyBorder="1" applyProtection="1">
      <alignment vertical="center"/>
      <protection locked="0"/>
    </xf>
    <xf numFmtId="177" fontId="20" fillId="0" borderId="133" xfId="0" applyNumberFormat="1" applyFont="1" applyBorder="1" applyProtection="1">
      <alignment vertical="center"/>
      <protection locked="0"/>
    </xf>
    <xf numFmtId="0" fontId="0" fillId="0" borderId="130" xfId="0" applyBorder="1" applyAlignment="1">
      <alignment horizontal="center" vertical="center"/>
    </xf>
    <xf numFmtId="0" fontId="0" fillId="0" borderId="94" xfId="0"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58" fontId="19" fillId="0" borderId="1" xfId="0" applyNumberFormat="1" applyFont="1" applyBorder="1" applyAlignment="1">
      <alignment horizontal="distributed" vertical="center" justifyLastLine="1"/>
    </xf>
    <xf numFmtId="0" fontId="19" fillId="0" borderId="1" xfId="0" applyFont="1" applyBorder="1" applyAlignment="1">
      <alignment horizontal="center" vertical="center"/>
    </xf>
    <xf numFmtId="0" fontId="19" fillId="0" borderId="1" xfId="0" applyFont="1" applyBorder="1" applyAlignment="1">
      <alignment vertical="center" wrapText="1"/>
    </xf>
    <xf numFmtId="58" fontId="19" fillId="0" borderId="4" xfId="0" applyNumberFormat="1" applyFont="1" applyBorder="1" applyAlignment="1">
      <alignment horizontal="distributed" vertical="center" justifyLastLine="1"/>
    </xf>
    <xf numFmtId="0" fontId="19" fillId="2" borderId="0" xfId="0" applyFont="1" applyFill="1">
      <alignment vertical="center"/>
    </xf>
    <xf numFmtId="58" fontId="19" fillId="0" borderId="12" xfId="0" applyNumberFormat="1" applyFont="1" applyBorder="1" applyAlignment="1">
      <alignment horizontal="distributed" vertical="center" justifyLastLine="1"/>
    </xf>
    <xf numFmtId="0" fontId="19" fillId="0" borderId="12" xfId="0" applyFont="1" applyBorder="1" applyAlignment="1">
      <alignment horizontal="center" vertical="center"/>
    </xf>
    <xf numFmtId="0" fontId="19" fillId="0" borderId="12" xfId="0" applyFont="1" applyBorder="1" applyAlignment="1">
      <alignment vertical="center" wrapText="1"/>
    </xf>
    <xf numFmtId="0" fontId="19" fillId="0" borderId="1" xfId="0" applyFont="1" applyBorder="1">
      <alignment vertical="center"/>
    </xf>
    <xf numFmtId="58" fontId="9" fillId="0" borderId="1" xfId="0" applyNumberFormat="1" applyFont="1" applyBorder="1" applyAlignment="1">
      <alignment horizontal="distributed" vertical="center" justifyLastLine="1"/>
    </xf>
    <xf numFmtId="0" fontId="28" fillId="0" borderId="1" xfId="0" applyFont="1" applyBorder="1" applyAlignment="1">
      <alignment horizontal="center" vertical="center"/>
    </xf>
    <xf numFmtId="0" fontId="0" fillId="0" borderId="139" xfId="0" applyBorder="1">
      <alignment vertical="center"/>
    </xf>
    <xf numFmtId="0" fontId="0" fillId="0" borderId="140" xfId="0" applyBorder="1" applyAlignment="1">
      <alignment horizontal="center" vertical="center"/>
    </xf>
    <xf numFmtId="0" fontId="0" fillId="0" borderId="2" xfId="0" applyBorder="1">
      <alignment vertical="center"/>
    </xf>
    <xf numFmtId="58" fontId="9" fillId="0" borderId="0" xfId="0" applyNumberFormat="1" applyFont="1" applyAlignment="1">
      <alignment horizontal="distributed" vertical="center" justifyLastLine="1"/>
    </xf>
    <xf numFmtId="0" fontId="28" fillId="0" borderId="0" xfId="0" applyFont="1" applyAlignment="1">
      <alignment horizontal="center" vertical="center"/>
    </xf>
    <xf numFmtId="177" fontId="21" fillId="2" borderId="44" xfId="0" applyNumberFormat="1" applyFont="1" applyFill="1" applyBorder="1" applyAlignment="1">
      <alignment horizontal="right" vertical="center"/>
    </xf>
    <xf numFmtId="176" fontId="27" fillId="3" borderId="53" xfId="4" applyNumberFormat="1" applyFont="1" applyFill="1" applyBorder="1" applyAlignment="1">
      <alignment horizontal="right" vertical="center"/>
    </xf>
    <xf numFmtId="0" fontId="20" fillId="5" borderId="51" xfId="0" applyFont="1" applyFill="1" applyBorder="1" applyAlignment="1" applyProtection="1">
      <alignment horizontal="right" vertical="center"/>
      <protection locked="0"/>
    </xf>
    <xf numFmtId="176" fontId="77" fillId="2" borderId="53" xfId="0" applyNumberFormat="1" applyFont="1" applyFill="1" applyBorder="1" applyAlignment="1">
      <alignment horizontal="right" vertical="center"/>
    </xf>
    <xf numFmtId="178" fontId="27" fillId="4" borderId="47" xfId="0" applyNumberFormat="1" applyFont="1" applyFill="1" applyBorder="1" applyAlignment="1" applyProtection="1">
      <alignment horizontal="right" vertical="center"/>
      <protection locked="0"/>
    </xf>
    <xf numFmtId="177" fontId="20" fillId="4" borderId="0" xfId="3" applyNumberFormat="1" applyFont="1" applyFill="1" applyAlignment="1" applyProtection="1">
      <alignment horizontal="right" vertical="center"/>
      <protection locked="0"/>
    </xf>
    <xf numFmtId="179" fontId="27" fillId="4" borderId="8" xfId="0" applyNumberFormat="1" applyFont="1" applyFill="1" applyBorder="1" applyAlignment="1" applyProtection="1">
      <alignment horizontal="right" vertical="center"/>
      <protection locked="0"/>
    </xf>
    <xf numFmtId="178" fontId="20" fillId="4" borderId="42" xfId="0" applyNumberFormat="1" applyFont="1" applyFill="1" applyBorder="1" applyAlignment="1" applyProtection="1">
      <alignment horizontal="right" vertical="center"/>
      <protection locked="0"/>
    </xf>
    <xf numFmtId="177" fontId="27" fillId="5" borderId="53" xfId="0" applyNumberFormat="1" applyFont="1" applyFill="1" applyBorder="1" applyAlignment="1" applyProtection="1">
      <alignment horizontal="right" vertical="center"/>
      <protection locked="0"/>
    </xf>
    <xf numFmtId="177" fontId="27" fillId="5" borderId="51" xfId="0" applyNumberFormat="1" applyFont="1" applyFill="1" applyBorder="1" applyAlignment="1" applyProtection="1">
      <alignment horizontal="right" vertical="center"/>
      <protection locked="0"/>
    </xf>
    <xf numFmtId="177" fontId="27" fillId="5" borderId="47" xfId="0" applyNumberFormat="1" applyFont="1" applyFill="1" applyBorder="1" applyAlignment="1" applyProtection="1">
      <alignment horizontal="right" vertical="center"/>
      <protection locked="0"/>
    </xf>
    <xf numFmtId="177" fontId="27" fillId="4" borderId="53" xfId="0" applyNumberFormat="1" applyFont="1" applyFill="1" applyBorder="1" applyAlignment="1" applyProtection="1">
      <alignment horizontal="right" vertical="center"/>
      <protection locked="0"/>
    </xf>
    <xf numFmtId="177" fontId="27" fillId="4" borderId="51" xfId="0" applyNumberFormat="1" applyFont="1" applyFill="1" applyBorder="1" applyAlignment="1" applyProtection="1">
      <alignment horizontal="right" vertical="center"/>
      <protection locked="0"/>
    </xf>
    <xf numFmtId="177" fontId="20" fillId="4" borderId="51" xfId="0" applyNumberFormat="1" applyFont="1" applyFill="1" applyBorder="1" applyAlignment="1" applyProtection="1">
      <alignment horizontal="right" vertical="center"/>
      <protection locked="0"/>
    </xf>
    <xf numFmtId="0" fontId="27" fillId="5" borderId="53" xfId="0" applyFont="1" applyFill="1" applyBorder="1" applyAlignment="1" applyProtection="1">
      <alignment horizontal="right" vertical="center"/>
      <protection locked="0"/>
    </xf>
    <xf numFmtId="176" fontId="27" fillId="5" borderId="53" xfId="0" applyNumberFormat="1" applyFont="1" applyFill="1" applyBorder="1" applyAlignment="1" applyProtection="1">
      <alignment horizontal="right" vertical="center"/>
      <protection locked="0"/>
    </xf>
    <xf numFmtId="177" fontId="27" fillId="3" borderId="51" xfId="0" applyNumberFormat="1" applyFont="1" applyFill="1" applyBorder="1" applyAlignment="1" applyProtection="1">
      <alignment horizontal="right" vertical="center"/>
      <protection locked="0"/>
    </xf>
    <xf numFmtId="177" fontId="27" fillId="0" borderId="53" xfId="0" applyNumberFormat="1" applyFont="1" applyBorder="1" applyAlignment="1" applyProtection="1">
      <alignment horizontal="right" vertical="center"/>
      <protection locked="0"/>
    </xf>
    <xf numFmtId="177" fontId="27" fillId="0" borderId="51" xfId="0" applyNumberFormat="1" applyFont="1" applyBorder="1" applyAlignment="1" applyProtection="1">
      <alignment horizontal="right" vertical="center"/>
      <protection locked="0"/>
    </xf>
    <xf numFmtId="176" fontId="27" fillId="3" borderId="53" xfId="0" applyNumberFormat="1" applyFont="1" applyFill="1" applyBorder="1" applyAlignment="1">
      <alignment horizontal="right" vertical="center"/>
    </xf>
    <xf numFmtId="176" fontId="27" fillId="5" borderId="53" xfId="0" applyNumberFormat="1" applyFont="1" applyFill="1" applyBorder="1" applyAlignment="1">
      <alignment horizontal="right" vertical="center"/>
    </xf>
    <xf numFmtId="176" fontId="27" fillId="5" borderId="44" xfId="0" applyNumberFormat="1" applyFont="1" applyFill="1" applyBorder="1" applyAlignment="1">
      <alignment horizontal="right" vertical="center"/>
    </xf>
    <xf numFmtId="176" fontId="27" fillId="5" borderId="47" xfId="0" applyNumberFormat="1" applyFont="1" applyFill="1" applyBorder="1" applyAlignment="1">
      <alignment horizontal="right" vertical="center"/>
    </xf>
    <xf numFmtId="176" fontId="27" fillId="5" borderId="8" xfId="0" applyNumberFormat="1" applyFont="1" applyFill="1" applyBorder="1" applyAlignment="1">
      <alignment horizontal="right" vertical="center"/>
    </xf>
    <xf numFmtId="176" fontId="27" fillId="0" borderId="53" xfId="0" applyNumberFormat="1" applyFont="1" applyBorder="1" applyAlignment="1">
      <alignment horizontal="right" vertical="center"/>
    </xf>
    <xf numFmtId="176" fontId="27" fillId="0" borderId="44" xfId="0" applyNumberFormat="1" applyFont="1" applyBorder="1" applyAlignment="1">
      <alignment horizontal="right" vertical="center"/>
    </xf>
    <xf numFmtId="176" fontId="27" fillId="0" borderId="47" xfId="0" applyNumberFormat="1" applyFont="1" applyBorder="1" applyAlignment="1">
      <alignment horizontal="right" vertical="center"/>
    </xf>
    <xf numFmtId="176" fontId="27" fillId="0" borderId="8" xfId="0" applyNumberFormat="1" applyFont="1" applyBorder="1" applyAlignment="1">
      <alignment horizontal="right" vertical="center"/>
    </xf>
    <xf numFmtId="176" fontId="27" fillId="0" borderId="42" xfId="0" applyNumberFormat="1" applyFont="1" applyBorder="1" applyAlignment="1">
      <alignment horizontal="right" vertical="center"/>
    </xf>
    <xf numFmtId="176" fontId="27" fillId="5" borderId="42" xfId="0" applyNumberFormat="1" applyFont="1" applyFill="1" applyBorder="1" applyAlignment="1">
      <alignment horizontal="right" vertical="center"/>
    </xf>
    <xf numFmtId="176" fontId="27" fillId="3" borderId="42" xfId="0" applyNumberFormat="1" applyFont="1" applyFill="1" applyBorder="1" applyAlignment="1">
      <alignment horizontal="right" vertical="center"/>
    </xf>
    <xf numFmtId="176" fontId="27" fillId="2" borderId="42" xfId="0" applyNumberFormat="1" applyFont="1" applyFill="1" applyBorder="1" applyAlignment="1">
      <alignment horizontal="right" vertical="center"/>
    </xf>
    <xf numFmtId="176" fontId="27" fillId="2" borderId="53" xfId="0" applyNumberFormat="1" applyFont="1" applyFill="1" applyBorder="1" applyAlignment="1">
      <alignment horizontal="right" vertical="center"/>
    </xf>
    <xf numFmtId="176" fontId="27" fillId="3" borderId="102" xfId="0" applyNumberFormat="1" applyFont="1" applyFill="1" applyBorder="1" applyAlignment="1">
      <alignment horizontal="right" vertical="center" wrapText="1"/>
    </xf>
    <xf numFmtId="176" fontId="27" fillId="3" borderId="100" xfId="0" applyNumberFormat="1" applyFont="1" applyFill="1" applyBorder="1" applyAlignment="1">
      <alignment horizontal="right" vertical="center" wrapText="1"/>
    </xf>
    <xf numFmtId="3" fontId="27" fillId="2" borderId="42" xfId="0" applyNumberFormat="1" applyFont="1" applyFill="1" applyBorder="1" applyAlignment="1">
      <alignment horizontal="right" vertical="center"/>
    </xf>
    <xf numFmtId="3" fontId="27" fillId="2" borderId="53" xfId="0" applyNumberFormat="1" applyFont="1" applyFill="1" applyBorder="1" applyAlignment="1">
      <alignment horizontal="right" vertical="center"/>
    </xf>
    <xf numFmtId="176" fontId="27" fillId="5" borderId="100" xfId="0" applyNumberFormat="1" applyFont="1" applyFill="1" applyBorder="1" applyAlignment="1">
      <alignment horizontal="right" vertical="center" wrapText="1"/>
    </xf>
    <xf numFmtId="176" fontId="27" fillId="4" borderId="53" xfId="0" applyNumberFormat="1" applyFont="1" applyFill="1" applyBorder="1" applyAlignment="1" applyProtection="1">
      <alignment horizontal="right" vertical="center"/>
      <protection locked="0"/>
    </xf>
    <xf numFmtId="177" fontId="27" fillId="5" borderId="44" xfId="0" applyNumberFormat="1" applyFont="1" applyFill="1" applyBorder="1" applyAlignment="1" applyProtection="1">
      <alignment horizontal="right" vertical="center"/>
      <protection locked="0"/>
    </xf>
    <xf numFmtId="176" fontId="27" fillId="2" borderId="44" xfId="0" applyNumberFormat="1" applyFont="1" applyFill="1" applyBorder="1" applyAlignment="1" applyProtection="1">
      <alignment horizontal="right" vertical="center"/>
      <protection locked="0"/>
    </xf>
    <xf numFmtId="176" fontId="27" fillId="2" borderId="53" xfId="0" applyNumberFormat="1" applyFont="1" applyFill="1" applyBorder="1" applyAlignment="1" applyProtection="1">
      <alignment horizontal="right" vertical="center"/>
      <protection locked="0"/>
    </xf>
    <xf numFmtId="182" fontId="27" fillId="2" borderId="44" xfId="0" applyNumberFormat="1" applyFont="1" applyFill="1" applyBorder="1" applyAlignment="1" applyProtection="1">
      <alignment horizontal="right" vertical="center"/>
      <protection locked="0"/>
    </xf>
    <xf numFmtId="186" fontId="27" fillId="5" borderId="0" xfId="0" applyNumberFormat="1" applyFont="1" applyFill="1" applyAlignment="1" applyProtection="1">
      <alignment horizontal="right" vertical="center"/>
      <protection locked="0"/>
    </xf>
    <xf numFmtId="176" fontId="27" fillId="5" borderId="44" xfId="0" applyNumberFormat="1" applyFont="1" applyFill="1" applyBorder="1" applyAlignment="1" applyProtection="1">
      <alignment horizontal="right" vertical="center"/>
      <protection locked="0"/>
    </xf>
    <xf numFmtId="182" fontId="27" fillId="5" borderId="44" xfId="0" applyNumberFormat="1" applyFont="1" applyFill="1" applyBorder="1" applyAlignment="1" applyProtection="1">
      <alignment horizontal="right" vertical="center"/>
      <protection locked="0"/>
    </xf>
    <xf numFmtId="182" fontId="27" fillId="5" borderId="53" xfId="0" applyNumberFormat="1" applyFont="1" applyFill="1" applyBorder="1" applyAlignment="1" applyProtection="1">
      <alignment horizontal="right" vertical="center"/>
      <protection locked="0"/>
    </xf>
    <xf numFmtId="186" fontId="27" fillId="0" borderId="0" xfId="0" applyNumberFormat="1" applyFont="1" applyAlignment="1" applyProtection="1">
      <alignment horizontal="right" vertical="center"/>
      <protection locked="0"/>
    </xf>
    <xf numFmtId="176" fontId="27" fillId="0" borderId="44" xfId="0" applyNumberFormat="1" applyFont="1" applyBorder="1" applyAlignment="1" applyProtection="1">
      <alignment horizontal="right" vertical="center"/>
      <protection locked="0"/>
    </xf>
    <xf numFmtId="182" fontId="27" fillId="0" borderId="44" xfId="0" applyNumberFormat="1" applyFont="1" applyBorder="1" applyAlignment="1" applyProtection="1">
      <alignment horizontal="right" vertical="center"/>
      <protection locked="0"/>
    </xf>
    <xf numFmtId="176" fontId="27" fillId="0" borderId="53" xfId="0" applyNumberFormat="1" applyFont="1" applyBorder="1" applyAlignment="1" applyProtection="1">
      <alignment horizontal="right" vertical="center"/>
      <protection locked="0"/>
    </xf>
    <xf numFmtId="182" fontId="27" fillId="0" borderId="53" xfId="0" applyNumberFormat="1" applyFont="1" applyBorder="1" applyAlignment="1" applyProtection="1">
      <alignment horizontal="right" vertical="center"/>
      <protection locked="0"/>
    </xf>
    <xf numFmtId="180" fontId="27" fillId="5" borderId="0" xfId="0" applyNumberFormat="1" applyFont="1" applyFill="1" applyAlignment="1" applyProtection="1">
      <alignment horizontal="right" vertical="center"/>
      <protection locked="0"/>
    </xf>
    <xf numFmtId="176" fontId="27" fillId="0" borderId="42" xfId="5" applyNumberFormat="1" applyFont="1" applyBorder="1" applyAlignment="1" applyProtection="1">
      <alignment horizontal="right" vertical="center"/>
      <protection locked="0"/>
    </xf>
    <xf numFmtId="186" fontId="27" fillId="0" borderId="0" xfId="5" applyNumberFormat="1" applyFont="1" applyAlignment="1" applyProtection="1">
      <alignment horizontal="right" vertical="center"/>
      <protection locked="0"/>
    </xf>
    <xf numFmtId="176" fontId="27" fillId="0" borderId="44" xfId="5" applyNumberFormat="1" applyFont="1" applyBorder="1" applyAlignment="1" applyProtection="1">
      <alignment horizontal="right" vertical="center"/>
      <protection locked="0"/>
    </xf>
    <xf numFmtId="182" fontId="27" fillId="0" borderId="44" xfId="5" applyNumberFormat="1" applyFont="1" applyBorder="1" applyAlignment="1" applyProtection="1">
      <alignment horizontal="right" vertical="center"/>
      <protection locked="0"/>
    </xf>
    <xf numFmtId="176" fontId="27" fillId="0" borderId="53" xfId="5" applyNumberFormat="1" applyFont="1" applyBorder="1" applyAlignment="1" applyProtection="1">
      <alignment horizontal="right" vertical="center"/>
      <protection locked="0"/>
    </xf>
    <xf numFmtId="182" fontId="27" fillId="0" borderId="53" xfId="5" applyNumberFormat="1" applyFont="1" applyBorder="1" applyAlignment="1" applyProtection="1">
      <alignment horizontal="right" vertical="center"/>
      <protection locked="0"/>
    </xf>
    <xf numFmtId="186" fontId="27" fillId="4" borderId="0" xfId="0" applyNumberFormat="1" applyFont="1" applyFill="1" applyAlignment="1" applyProtection="1">
      <alignment horizontal="right" vertical="center"/>
      <protection locked="0"/>
    </xf>
    <xf numFmtId="176" fontId="27" fillId="4" borderId="44" xfId="0" applyNumberFormat="1" applyFont="1" applyFill="1" applyBorder="1" applyAlignment="1" applyProtection="1">
      <alignment horizontal="right" vertical="center"/>
      <protection locked="0"/>
    </xf>
    <xf numFmtId="182" fontId="27" fillId="4" borderId="44" xfId="0" applyNumberFormat="1" applyFont="1" applyFill="1" applyBorder="1" applyAlignment="1" applyProtection="1">
      <alignment horizontal="right" vertical="center"/>
      <protection locked="0"/>
    </xf>
    <xf numFmtId="182" fontId="27" fillId="4" borderId="53" xfId="0" applyNumberFormat="1" applyFont="1" applyFill="1" applyBorder="1" applyAlignment="1" applyProtection="1">
      <alignment horizontal="right" vertical="center"/>
      <protection locked="0"/>
    </xf>
    <xf numFmtId="186" fontId="27" fillId="5" borderId="53" xfId="0" applyNumberFormat="1" applyFont="1" applyFill="1" applyBorder="1" applyAlignment="1" applyProtection="1">
      <alignment horizontal="right" vertical="center"/>
      <protection locked="0"/>
    </xf>
    <xf numFmtId="176" fontId="27" fillId="3" borderId="56" xfId="0" applyNumberFormat="1" applyFont="1" applyFill="1" applyBorder="1" applyAlignment="1" applyProtection="1">
      <alignment horizontal="right" vertical="center"/>
      <protection locked="0"/>
    </xf>
    <xf numFmtId="176" fontId="27" fillId="0" borderId="47" xfId="0" applyNumberFormat="1" applyFont="1" applyBorder="1" applyAlignment="1" applyProtection="1">
      <alignment horizontal="right" vertical="center"/>
      <protection locked="0"/>
    </xf>
    <xf numFmtId="176" fontId="27" fillId="5" borderId="47" xfId="0" applyNumberFormat="1" applyFont="1" applyFill="1" applyBorder="1" applyAlignment="1" applyProtection="1">
      <alignment horizontal="right" vertical="center"/>
      <protection locked="0"/>
    </xf>
    <xf numFmtId="176" fontId="27" fillId="0" borderId="7" xfId="0" applyNumberFormat="1" applyFont="1" applyBorder="1" applyAlignment="1" applyProtection="1">
      <alignment horizontal="right" vertical="center"/>
      <protection locked="0"/>
    </xf>
    <xf numFmtId="176" fontId="77" fillId="3" borderId="42" xfId="0" applyNumberFormat="1" applyFont="1" applyFill="1" applyBorder="1" applyAlignment="1">
      <alignment horizontal="right" vertical="center"/>
    </xf>
    <xf numFmtId="176" fontId="77" fillId="3" borderId="53" xfId="0" applyNumberFormat="1" applyFont="1" applyFill="1" applyBorder="1" applyAlignment="1">
      <alignment horizontal="right" vertical="center"/>
    </xf>
    <xf numFmtId="0" fontId="33" fillId="0" borderId="0" xfId="0" applyFont="1">
      <alignment vertical="center"/>
    </xf>
    <xf numFmtId="0" fontId="33" fillId="0" borderId="0" xfId="0" applyFont="1" applyAlignment="1">
      <alignment horizontal="right" vertical="center"/>
    </xf>
    <xf numFmtId="176" fontId="27" fillId="5" borderId="39" xfId="4" applyNumberFormat="1" applyFont="1" applyFill="1" applyBorder="1" applyAlignment="1">
      <alignment horizontal="right" vertical="center"/>
    </xf>
    <xf numFmtId="176" fontId="27" fillId="0" borderId="47" xfId="4" applyNumberFormat="1" applyFont="1" applyBorder="1" applyAlignment="1">
      <alignment horizontal="right" vertical="center"/>
    </xf>
    <xf numFmtId="176" fontId="27" fillId="5" borderId="47" xfId="4" applyNumberFormat="1" applyFont="1" applyFill="1" applyBorder="1" applyAlignment="1">
      <alignment horizontal="right" vertical="center"/>
    </xf>
    <xf numFmtId="176" fontId="27" fillId="4" borderId="47" xfId="4" applyNumberFormat="1" applyFont="1" applyFill="1" applyBorder="1" applyAlignment="1">
      <alignment horizontal="right" vertical="center"/>
    </xf>
    <xf numFmtId="176" fontId="27" fillId="5" borderId="109" xfId="0" applyNumberFormat="1" applyFont="1" applyFill="1" applyBorder="1" applyAlignment="1">
      <alignment horizontal="right" vertical="center" wrapText="1"/>
    </xf>
    <xf numFmtId="176" fontId="27" fillId="0" borderId="42" xfId="4" applyNumberFormat="1" applyFont="1" applyBorder="1" applyAlignment="1">
      <alignment horizontal="right" vertical="center"/>
    </xf>
    <xf numFmtId="177" fontId="27" fillId="0" borderId="53" xfId="4" applyNumberFormat="1" applyFont="1" applyBorder="1" applyAlignment="1">
      <alignment horizontal="right" vertical="center"/>
    </xf>
    <xf numFmtId="176" fontId="27" fillId="0" borderId="53" xfId="4" applyNumberFormat="1" applyFont="1" applyBorder="1" applyAlignment="1">
      <alignment horizontal="right" vertical="center"/>
    </xf>
    <xf numFmtId="177" fontId="27" fillId="5" borderId="53" xfId="4" applyNumberFormat="1" applyFont="1" applyFill="1" applyBorder="1" applyAlignment="1">
      <alignment horizontal="right" vertical="center"/>
    </xf>
    <xf numFmtId="176" fontId="27" fillId="5" borderId="56" xfId="0" applyNumberFormat="1" applyFont="1" applyFill="1" applyBorder="1" applyAlignment="1">
      <alignment horizontal="right" vertical="center"/>
    </xf>
    <xf numFmtId="176" fontId="27" fillId="3" borderId="53" xfId="0" applyNumberFormat="1" applyFont="1" applyFill="1" applyBorder="1" applyAlignment="1" applyProtection="1">
      <alignment horizontal="right" vertical="center"/>
      <protection locked="0"/>
    </xf>
    <xf numFmtId="177" fontId="27" fillId="3" borderId="44" xfId="0" applyNumberFormat="1" applyFont="1" applyFill="1" applyBorder="1" applyAlignment="1">
      <alignment horizontal="right" vertical="center"/>
    </xf>
    <xf numFmtId="177" fontId="27" fillId="3" borderId="47" xfId="0" applyNumberFormat="1" applyFont="1" applyFill="1" applyBorder="1" applyAlignment="1">
      <alignment horizontal="right" vertical="center"/>
    </xf>
    <xf numFmtId="0" fontId="77" fillId="5" borderId="7" xfId="0" applyFont="1" applyFill="1" applyBorder="1" applyAlignment="1">
      <alignment horizontal="center" vertical="center"/>
    </xf>
    <xf numFmtId="176" fontId="27" fillId="3" borderId="51" xfId="0" applyNumberFormat="1" applyFont="1" applyFill="1" applyBorder="1" applyAlignment="1">
      <alignment horizontal="right" vertical="center"/>
    </xf>
    <xf numFmtId="176" fontId="27" fillId="3" borderId="39" xfId="0" applyNumberFormat="1" applyFont="1" applyFill="1" applyBorder="1" applyAlignment="1">
      <alignment horizontal="right" vertical="center"/>
    </xf>
    <xf numFmtId="188" fontId="27" fillId="0" borderId="56" xfId="0" applyNumberFormat="1" applyFont="1" applyBorder="1" applyAlignment="1">
      <alignment horizontal="right" vertical="center"/>
    </xf>
    <xf numFmtId="177" fontId="27" fillId="0" borderId="0" xfId="0" applyNumberFormat="1" applyFont="1" applyAlignment="1">
      <alignment horizontal="right" vertical="center"/>
    </xf>
    <xf numFmtId="176" fontId="27" fillId="3" borderId="8" xfId="0" applyNumberFormat="1" applyFont="1" applyFill="1" applyBorder="1" applyAlignment="1">
      <alignment horizontal="right" vertical="center"/>
    </xf>
    <xf numFmtId="176" fontId="27" fillId="3" borderId="38" xfId="0" applyNumberFormat="1" applyFont="1" applyFill="1" applyBorder="1" applyAlignment="1">
      <alignment horizontal="right" vertical="center"/>
    </xf>
    <xf numFmtId="177" fontId="27" fillId="3" borderId="39" xfId="0" applyNumberFormat="1" applyFont="1" applyFill="1" applyBorder="1" applyAlignment="1">
      <alignment horizontal="right" vertical="center"/>
    </xf>
    <xf numFmtId="177" fontId="27" fillId="3" borderId="53" xfId="0" applyNumberFormat="1" applyFont="1" applyFill="1" applyBorder="1" applyAlignment="1">
      <alignment horizontal="right" vertical="center"/>
    </xf>
    <xf numFmtId="176" fontId="77" fillId="3" borderId="51" xfId="0" applyNumberFormat="1" applyFont="1" applyFill="1" applyBorder="1" applyAlignment="1">
      <alignment horizontal="right" vertical="center"/>
    </xf>
    <xf numFmtId="176" fontId="27" fillId="3" borderId="42" xfId="0" applyNumberFormat="1" applyFont="1" applyFill="1" applyBorder="1" applyAlignment="1" applyProtection="1">
      <alignment horizontal="right" vertical="center"/>
      <protection locked="0"/>
    </xf>
    <xf numFmtId="177" fontId="27" fillId="3" borderId="53" xfId="0" applyNumberFormat="1" applyFont="1" applyFill="1" applyBorder="1" applyAlignment="1" applyProtection="1">
      <alignment horizontal="right" vertical="center"/>
      <protection locked="0"/>
    </xf>
    <xf numFmtId="176" fontId="27" fillId="3" borderId="47" xfId="0" applyNumberFormat="1" applyFont="1" applyFill="1" applyBorder="1" applyAlignment="1" applyProtection="1">
      <alignment horizontal="right" vertical="center"/>
      <protection locked="0"/>
    </xf>
    <xf numFmtId="0" fontId="77" fillId="0" borderId="7" xfId="0" applyFont="1" applyBorder="1" applyAlignment="1">
      <alignment horizontal="center" vertical="center"/>
    </xf>
    <xf numFmtId="176" fontId="27" fillId="2" borderId="51" xfId="0" applyNumberFormat="1" applyFont="1" applyFill="1" applyBorder="1" applyAlignment="1">
      <alignment horizontal="right" vertical="center"/>
    </xf>
    <xf numFmtId="176" fontId="27" fillId="2" borderId="47" xfId="0" applyNumberFormat="1" applyFont="1" applyFill="1" applyBorder="1" applyAlignment="1">
      <alignment horizontal="right" vertical="center"/>
    </xf>
    <xf numFmtId="177" fontId="27" fillId="2" borderId="47" xfId="0" applyNumberFormat="1" applyFont="1" applyFill="1" applyBorder="1" applyAlignment="1">
      <alignment horizontal="right" vertical="center"/>
    </xf>
    <xf numFmtId="176" fontId="77" fillId="2" borderId="42" xfId="0" applyNumberFormat="1" applyFont="1" applyFill="1" applyBorder="1" applyAlignment="1">
      <alignment horizontal="right" vertical="center"/>
    </xf>
    <xf numFmtId="177" fontId="27" fillId="2" borderId="44" xfId="0" applyNumberFormat="1" applyFont="1" applyFill="1" applyBorder="1" applyAlignment="1">
      <alignment horizontal="right" vertical="center"/>
    </xf>
    <xf numFmtId="177" fontId="27" fillId="2" borderId="53" xfId="0" applyNumberFormat="1" applyFont="1" applyFill="1" applyBorder="1" applyAlignment="1">
      <alignment horizontal="right" vertical="center"/>
    </xf>
    <xf numFmtId="176" fontId="77" fillId="2" borderId="51" xfId="0" applyNumberFormat="1" applyFont="1" applyFill="1" applyBorder="1" applyAlignment="1">
      <alignment horizontal="right" vertical="center"/>
    </xf>
    <xf numFmtId="176" fontId="27" fillId="2" borderId="42" xfId="0" applyNumberFormat="1" applyFont="1" applyFill="1" applyBorder="1" applyAlignment="1" applyProtection="1">
      <alignment horizontal="right" vertical="center"/>
      <protection locked="0"/>
    </xf>
    <xf numFmtId="177" fontId="27" fillId="2" borderId="53" xfId="0" applyNumberFormat="1" applyFont="1" applyFill="1" applyBorder="1" applyAlignment="1" applyProtection="1">
      <alignment horizontal="right" vertical="center"/>
      <protection locked="0"/>
    </xf>
    <xf numFmtId="176" fontId="27" fillId="2" borderId="47" xfId="0" applyNumberFormat="1" applyFont="1" applyFill="1" applyBorder="1" applyAlignment="1" applyProtection="1">
      <alignment horizontal="right" vertical="center"/>
      <protection locked="0"/>
    </xf>
    <xf numFmtId="176" fontId="27" fillId="3" borderId="47" xfId="0" applyNumberFormat="1" applyFont="1" applyFill="1" applyBorder="1" applyAlignment="1">
      <alignment horizontal="right" vertical="center"/>
    </xf>
    <xf numFmtId="176" fontId="77" fillId="3" borderId="51" xfId="0" applyNumberFormat="1" applyFont="1" applyFill="1" applyBorder="1" applyAlignment="1">
      <alignment horizontal="right" vertical="center" shrinkToFit="1"/>
    </xf>
    <xf numFmtId="176" fontId="27" fillId="0" borderId="51" xfId="0" applyNumberFormat="1" applyFont="1" applyBorder="1" applyAlignment="1">
      <alignment horizontal="right" vertical="center"/>
    </xf>
    <xf numFmtId="177" fontId="27" fillId="0" borderId="47" xfId="0" applyNumberFormat="1" applyFont="1" applyBorder="1" applyAlignment="1">
      <alignment horizontal="right" vertical="center"/>
    </xf>
    <xf numFmtId="176" fontId="77" fillId="0" borderId="42" xfId="0" applyNumberFormat="1" applyFont="1" applyBorder="1" applyAlignment="1">
      <alignment horizontal="right" vertical="center"/>
    </xf>
    <xf numFmtId="177" fontId="27" fillId="0" borderId="44" xfId="0" applyNumberFormat="1" applyFont="1" applyBorder="1" applyAlignment="1">
      <alignment horizontal="right" vertical="center"/>
    </xf>
    <xf numFmtId="177" fontId="27" fillId="0" borderId="53" xfId="0" applyNumberFormat="1" applyFont="1" applyBorder="1" applyAlignment="1">
      <alignment horizontal="right" vertical="center"/>
    </xf>
    <xf numFmtId="176" fontId="77" fillId="0" borderId="51" xfId="0" applyNumberFormat="1" applyFont="1" applyBorder="1" applyAlignment="1">
      <alignment horizontal="right" vertical="center"/>
    </xf>
    <xf numFmtId="176" fontId="27" fillId="0" borderId="42" xfId="0" applyNumberFormat="1" applyFont="1" applyBorder="1" applyAlignment="1" applyProtection="1">
      <alignment horizontal="right" vertical="center"/>
      <protection locked="0"/>
    </xf>
    <xf numFmtId="176" fontId="27" fillId="5" borderId="51" xfId="0" applyNumberFormat="1" applyFont="1" applyFill="1" applyBorder="1" applyAlignment="1">
      <alignment horizontal="right" vertical="center"/>
    </xf>
    <xf numFmtId="177" fontId="27" fillId="5" borderId="47" xfId="0" applyNumberFormat="1" applyFont="1" applyFill="1" applyBorder="1" applyAlignment="1">
      <alignment horizontal="right" vertical="center"/>
    </xf>
    <xf numFmtId="176" fontId="77" fillId="5" borderId="42" xfId="0" applyNumberFormat="1" applyFont="1" applyFill="1" applyBorder="1" applyAlignment="1">
      <alignment horizontal="right" vertical="center"/>
    </xf>
    <xf numFmtId="177" fontId="27" fillId="5" borderId="44" xfId="0" applyNumberFormat="1" applyFont="1" applyFill="1" applyBorder="1" applyAlignment="1">
      <alignment horizontal="right" vertical="center"/>
    </xf>
    <xf numFmtId="177" fontId="27" fillId="5" borderId="53" xfId="0" applyNumberFormat="1" applyFont="1" applyFill="1" applyBorder="1" applyAlignment="1">
      <alignment horizontal="right" vertical="center"/>
    </xf>
    <xf numFmtId="176" fontId="77" fillId="5" borderId="51" xfId="0" applyNumberFormat="1" applyFont="1" applyFill="1" applyBorder="1" applyAlignment="1">
      <alignment horizontal="right" vertical="center"/>
    </xf>
    <xf numFmtId="176" fontId="27" fillId="5" borderId="42" xfId="0" applyNumberFormat="1" applyFont="1" applyFill="1" applyBorder="1" applyAlignment="1" applyProtection="1">
      <alignment horizontal="right" vertical="center"/>
      <protection locked="0"/>
    </xf>
    <xf numFmtId="176" fontId="27" fillId="4" borderId="42" xfId="0" applyNumberFormat="1" applyFont="1" applyFill="1" applyBorder="1" applyAlignment="1">
      <alignment horizontal="right" vertical="center"/>
    </xf>
    <xf numFmtId="176" fontId="27" fillId="4" borderId="53" xfId="0" applyNumberFormat="1" applyFont="1" applyFill="1" applyBorder="1" applyAlignment="1">
      <alignment horizontal="right" vertical="center"/>
    </xf>
    <xf numFmtId="177" fontId="27" fillId="4" borderId="47" xfId="0" applyNumberFormat="1" applyFont="1" applyFill="1" applyBorder="1" applyAlignment="1">
      <alignment horizontal="right" vertical="center"/>
    </xf>
    <xf numFmtId="176" fontId="77" fillId="4" borderId="42" xfId="0" applyNumberFormat="1" applyFont="1" applyFill="1" applyBorder="1" applyAlignment="1">
      <alignment horizontal="right" vertical="center"/>
    </xf>
    <xf numFmtId="177" fontId="27" fillId="4" borderId="44" xfId="0" applyNumberFormat="1" applyFont="1" applyFill="1" applyBorder="1" applyAlignment="1">
      <alignment horizontal="right" vertical="center"/>
    </xf>
    <xf numFmtId="177" fontId="27" fillId="4" borderId="53" xfId="0" applyNumberFormat="1" applyFont="1" applyFill="1" applyBorder="1" applyAlignment="1">
      <alignment horizontal="right" vertical="center"/>
    </xf>
    <xf numFmtId="176" fontId="77" fillId="4" borderId="51" xfId="0" applyNumberFormat="1" applyFont="1" applyFill="1" applyBorder="1" applyAlignment="1">
      <alignment horizontal="right" vertical="center"/>
    </xf>
    <xf numFmtId="176" fontId="77" fillId="2" borderId="51" xfId="0" applyNumberFormat="1" applyFont="1" applyFill="1" applyBorder="1" applyAlignment="1">
      <alignment horizontal="right" vertical="center" shrinkToFit="1"/>
    </xf>
    <xf numFmtId="176" fontId="27" fillId="3" borderId="42" xfId="0" quotePrefix="1" applyNumberFormat="1" applyFont="1" applyFill="1" applyBorder="1" applyAlignment="1">
      <alignment horizontal="right" vertical="center"/>
    </xf>
    <xf numFmtId="176" fontId="77" fillId="3" borderId="42" xfId="0" applyNumberFormat="1" applyFont="1" applyFill="1" applyBorder="1" applyAlignment="1">
      <alignment horizontal="right" vertical="center" shrinkToFit="1"/>
    </xf>
    <xf numFmtId="176" fontId="27" fillId="3" borderId="51" xfId="0" applyNumberFormat="1" applyFont="1" applyFill="1" applyBorder="1" applyAlignment="1">
      <alignment horizontal="right" vertical="center" wrapText="1"/>
    </xf>
    <xf numFmtId="176" fontId="27" fillId="3" borderId="53" xfId="0" applyNumberFormat="1" applyFont="1" applyFill="1" applyBorder="1" applyAlignment="1">
      <alignment horizontal="right" vertical="center" wrapText="1"/>
    </xf>
    <xf numFmtId="176" fontId="27" fillId="3" borderId="47" xfId="0" applyNumberFormat="1" applyFont="1" applyFill="1" applyBorder="1" applyAlignment="1">
      <alignment horizontal="right" vertical="center" wrapText="1"/>
    </xf>
    <xf numFmtId="188" fontId="27" fillId="0" borderId="0" xfId="0" applyNumberFormat="1" applyFont="1" applyAlignment="1">
      <alignment horizontal="right" vertical="center"/>
    </xf>
    <xf numFmtId="176" fontId="27" fillId="3" borderId="108" xfId="0" applyNumberFormat="1" applyFont="1" applyFill="1" applyBorder="1" applyAlignment="1">
      <alignment horizontal="right" vertical="center" wrapText="1"/>
    </xf>
    <xf numFmtId="177" fontId="27" fillId="3" borderId="109" xfId="0" applyNumberFormat="1" applyFont="1" applyFill="1" applyBorder="1" applyAlignment="1">
      <alignment horizontal="right" vertical="center" wrapText="1"/>
    </xf>
    <xf numFmtId="177" fontId="27" fillId="3" borderId="74" xfId="0" applyNumberFormat="1" applyFont="1" applyFill="1" applyBorder="1" applyAlignment="1">
      <alignment horizontal="right" vertical="center" wrapText="1"/>
    </xf>
    <xf numFmtId="176" fontId="77" fillId="3" borderId="102" xfId="0" applyNumberFormat="1" applyFont="1" applyFill="1" applyBorder="1" applyAlignment="1">
      <alignment horizontal="right" vertical="center" wrapText="1"/>
    </xf>
    <xf numFmtId="177" fontId="27" fillId="3" borderId="100" xfId="0" applyNumberFormat="1" applyFont="1" applyFill="1" applyBorder="1" applyAlignment="1">
      <alignment horizontal="right" vertical="center" wrapText="1"/>
    </xf>
    <xf numFmtId="176" fontId="77" fillId="3" borderId="100" xfId="0" applyNumberFormat="1" applyFont="1" applyFill="1" applyBorder="1" applyAlignment="1">
      <alignment horizontal="right" vertical="center" wrapText="1"/>
    </xf>
    <xf numFmtId="177" fontId="27" fillId="3" borderId="115" xfId="0" applyNumberFormat="1" applyFont="1" applyFill="1" applyBorder="1" applyAlignment="1">
      <alignment horizontal="right" vertical="center" wrapText="1"/>
    </xf>
    <xf numFmtId="177" fontId="27" fillId="3" borderId="53" xfId="0" applyNumberFormat="1" applyFont="1" applyFill="1" applyBorder="1" applyAlignment="1">
      <alignment horizontal="right" vertical="center" wrapText="1"/>
    </xf>
    <xf numFmtId="177" fontId="27" fillId="3" borderId="47" xfId="0" applyNumberFormat="1" applyFont="1" applyFill="1" applyBorder="1" applyAlignment="1">
      <alignment horizontal="right" vertical="center" wrapText="1"/>
    </xf>
    <xf numFmtId="177" fontId="27" fillId="0" borderId="0" xfId="0" applyNumberFormat="1" applyFont="1" applyAlignment="1">
      <alignment horizontal="right" vertical="center" wrapText="1"/>
    </xf>
    <xf numFmtId="176" fontId="77" fillId="2" borderId="42" xfId="0" applyNumberFormat="1" applyFont="1" applyFill="1" applyBorder="1" applyAlignment="1">
      <alignment horizontal="right" vertical="center" shrinkToFit="1"/>
    </xf>
    <xf numFmtId="176" fontId="77" fillId="0" borderId="42" xfId="0" applyNumberFormat="1" applyFont="1" applyBorder="1" applyAlignment="1">
      <alignment horizontal="right" vertical="center" shrinkToFit="1"/>
    </xf>
    <xf numFmtId="176" fontId="77" fillId="0" borderId="51" xfId="0" applyNumberFormat="1" applyFont="1" applyBorder="1" applyAlignment="1">
      <alignment horizontal="right" vertical="center" shrinkToFit="1"/>
    </xf>
    <xf numFmtId="177" fontId="27" fillId="5" borderId="0" xfId="0" applyNumberFormat="1" applyFont="1" applyFill="1" applyAlignment="1">
      <alignment horizontal="right" vertical="center"/>
    </xf>
    <xf numFmtId="176" fontId="27" fillId="2" borderId="8" xfId="0" applyNumberFormat="1" applyFont="1" applyFill="1" applyBorder="1" applyAlignment="1">
      <alignment horizontal="right" vertical="center"/>
    </xf>
    <xf numFmtId="177" fontId="27" fillId="4" borderId="0" xfId="0" applyNumberFormat="1" applyFont="1" applyFill="1" applyAlignment="1">
      <alignment horizontal="right" vertical="center"/>
    </xf>
    <xf numFmtId="176" fontId="27" fillId="2" borderId="42" xfId="0" applyNumberFormat="1" applyFont="1" applyFill="1" applyBorder="1" applyAlignment="1">
      <alignment horizontal="right" vertical="center" shrinkToFit="1"/>
    </xf>
    <xf numFmtId="177" fontId="27" fillId="2" borderId="47" xfId="0" applyNumberFormat="1" applyFont="1" applyFill="1" applyBorder="1" applyAlignment="1">
      <alignment horizontal="right" vertical="center" shrinkToFit="1"/>
    </xf>
    <xf numFmtId="177" fontId="27" fillId="2" borderId="44" xfId="0" applyNumberFormat="1" applyFont="1" applyFill="1" applyBorder="1" applyAlignment="1">
      <alignment horizontal="right" vertical="center" shrinkToFit="1"/>
    </xf>
    <xf numFmtId="177" fontId="27" fillId="0" borderId="0" xfId="0" applyNumberFormat="1" applyFont="1" applyAlignment="1">
      <alignment horizontal="right" vertical="center" shrinkToFit="1"/>
    </xf>
    <xf numFmtId="177" fontId="27" fillId="2" borderId="53" xfId="0" applyNumberFormat="1" applyFont="1" applyFill="1" applyBorder="1" applyAlignment="1">
      <alignment horizontal="right" vertical="center" shrinkToFit="1"/>
    </xf>
    <xf numFmtId="176" fontId="27" fillId="3" borderId="51" xfId="0" applyNumberFormat="1" applyFont="1" applyFill="1" applyBorder="1" applyAlignment="1">
      <alignment horizontal="right" vertical="center" shrinkToFit="1"/>
    </xf>
    <xf numFmtId="176" fontId="27" fillId="3" borderId="44" xfId="0" applyNumberFormat="1" applyFont="1" applyFill="1" applyBorder="1" applyAlignment="1">
      <alignment horizontal="right" vertical="center" shrinkToFit="1"/>
    </xf>
    <xf numFmtId="177" fontId="27" fillId="3" borderId="47" xfId="0" applyNumberFormat="1" applyFont="1" applyFill="1" applyBorder="1" applyAlignment="1">
      <alignment horizontal="right" vertical="center" shrinkToFit="1"/>
    </xf>
    <xf numFmtId="177" fontId="27" fillId="3" borderId="44" xfId="0" applyNumberFormat="1" applyFont="1" applyFill="1" applyBorder="1" applyAlignment="1">
      <alignment horizontal="right" vertical="center" shrinkToFit="1"/>
    </xf>
    <xf numFmtId="177" fontId="27" fillId="3" borderId="53" xfId="0" applyNumberFormat="1" applyFont="1" applyFill="1" applyBorder="1" applyAlignment="1">
      <alignment horizontal="right" vertical="center" shrinkToFit="1"/>
    </xf>
    <xf numFmtId="176" fontId="27" fillId="3" borderId="8" xfId="0" applyNumberFormat="1" applyFont="1" applyFill="1" applyBorder="1" applyAlignment="1" applyProtection="1">
      <alignment horizontal="right" vertical="center"/>
      <protection locked="0"/>
    </xf>
    <xf numFmtId="176" fontId="27" fillId="3" borderId="0" xfId="0" applyNumberFormat="1" applyFont="1" applyFill="1" applyAlignment="1">
      <alignment horizontal="right" vertical="center"/>
    </xf>
    <xf numFmtId="176" fontId="27" fillId="3" borderId="56" xfId="0" applyNumberFormat="1" applyFont="1" applyFill="1" applyBorder="1" applyAlignment="1">
      <alignment horizontal="right" vertical="center"/>
    </xf>
    <xf numFmtId="176" fontId="77" fillId="3" borderId="8" xfId="0" applyNumberFormat="1" applyFont="1" applyFill="1" applyBorder="1" applyAlignment="1">
      <alignment horizontal="right" vertical="center"/>
    </xf>
    <xf numFmtId="177" fontId="27" fillId="3" borderId="0" xfId="0" applyNumberFormat="1" applyFont="1" applyFill="1" applyAlignment="1">
      <alignment horizontal="right" vertical="center"/>
    </xf>
    <xf numFmtId="176" fontId="27" fillId="3" borderId="51" xfId="0" applyNumberFormat="1" applyFont="1" applyFill="1" applyBorder="1" applyAlignment="1" applyProtection="1">
      <alignment horizontal="right" vertical="center"/>
      <protection locked="0"/>
    </xf>
    <xf numFmtId="176" fontId="27" fillId="2" borderId="0" xfId="0" applyNumberFormat="1" applyFont="1" applyFill="1" applyAlignment="1">
      <alignment horizontal="right" vertical="center"/>
    </xf>
    <xf numFmtId="176" fontId="27" fillId="0" borderId="0" xfId="0" applyNumberFormat="1" applyFont="1" applyAlignment="1">
      <alignment horizontal="right" vertical="center"/>
    </xf>
    <xf numFmtId="177" fontId="27" fillId="2" borderId="0" xfId="0" applyNumberFormat="1" applyFont="1" applyFill="1" applyAlignment="1">
      <alignment horizontal="right" vertical="center"/>
    </xf>
    <xf numFmtId="176" fontId="27" fillId="2" borderId="8" xfId="0" applyNumberFormat="1" applyFont="1" applyFill="1" applyBorder="1" applyAlignment="1" applyProtection="1">
      <alignment horizontal="right" vertical="center"/>
      <protection locked="0"/>
    </xf>
    <xf numFmtId="0" fontId="77" fillId="5" borderId="105" xfId="0" applyFont="1" applyFill="1" applyBorder="1" applyAlignment="1">
      <alignment horizontal="center" vertical="center" shrinkToFit="1"/>
    </xf>
    <xf numFmtId="176" fontId="27" fillId="5" borderId="88" xfId="0" applyNumberFormat="1" applyFont="1" applyFill="1" applyBorder="1" applyAlignment="1">
      <alignment horizontal="right" vertical="center" shrinkToFit="1"/>
    </xf>
    <xf numFmtId="176" fontId="27" fillId="5" borderId="81" xfId="0" applyNumberFormat="1" applyFont="1" applyFill="1" applyBorder="1" applyAlignment="1">
      <alignment horizontal="right" vertical="center" shrinkToFit="1"/>
    </xf>
    <xf numFmtId="188" fontId="27" fillId="0" borderId="7" xfId="0" applyNumberFormat="1" applyFont="1" applyBorder="1" applyAlignment="1">
      <alignment horizontal="right" vertical="center" shrinkToFit="1"/>
    </xf>
    <xf numFmtId="176" fontId="27" fillId="5" borderId="78" xfId="0" applyNumberFormat="1" applyFont="1" applyFill="1" applyBorder="1" applyAlignment="1">
      <alignment horizontal="right" vertical="center" shrinkToFit="1"/>
    </xf>
    <xf numFmtId="177" fontId="27" fillId="5" borderId="82" xfId="0" applyNumberFormat="1" applyFont="1" applyFill="1" applyBorder="1" applyAlignment="1">
      <alignment horizontal="right" vertical="center" shrinkToFit="1"/>
    </xf>
    <xf numFmtId="177" fontId="27" fillId="0" borderId="7" xfId="0" applyNumberFormat="1" applyFont="1" applyBorder="1" applyAlignment="1">
      <alignment horizontal="right" vertical="center" shrinkToFit="1"/>
    </xf>
    <xf numFmtId="176" fontId="27" fillId="5" borderId="82" xfId="0" applyNumberFormat="1" applyFont="1" applyFill="1" applyBorder="1" applyAlignment="1">
      <alignment horizontal="right" vertical="center" shrinkToFit="1"/>
    </xf>
    <xf numFmtId="176" fontId="77" fillId="5" borderId="79" xfId="0" applyNumberFormat="1" applyFont="1" applyFill="1" applyBorder="1" applyAlignment="1">
      <alignment horizontal="right" vertical="center" shrinkToFit="1"/>
    </xf>
    <xf numFmtId="176" fontId="27" fillId="5" borderId="113" xfId="0" applyNumberFormat="1" applyFont="1" applyFill="1" applyBorder="1" applyAlignment="1">
      <alignment horizontal="right" vertical="center" shrinkToFit="1"/>
    </xf>
    <xf numFmtId="176" fontId="27" fillId="0" borderId="0" xfId="0" applyNumberFormat="1" applyFont="1" applyAlignment="1">
      <alignment horizontal="right" vertical="center" shrinkToFit="1"/>
    </xf>
    <xf numFmtId="176" fontId="77" fillId="5" borderId="78" xfId="0" applyNumberFormat="1" applyFont="1" applyFill="1" applyBorder="1" applyAlignment="1">
      <alignment horizontal="right" vertical="center" shrinkToFit="1"/>
    </xf>
    <xf numFmtId="176" fontId="77" fillId="5" borderId="81" xfId="0" applyNumberFormat="1" applyFont="1" applyFill="1" applyBorder="1" applyAlignment="1">
      <alignment horizontal="right" vertical="center" shrinkToFit="1"/>
    </xf>
    <xf numFmtId="176" fontId="27" fillId="5" borderId="80" xfId="0" applyNumberFormat="1" applyFont="1" applyFill="1" applyBorder="1" applyAlignment="1">
      <alignment horizontal="right" vertical="center" shrinkToFit="1"/>
    </xf>
    <xf numFmtId="176" fontId="27" fillId="5" borderId="78" xfId="0" applyNumberFormat="1" applyFont="1" applyFill="1" applyBorder="1" applyAlignment="1" applyProtection="1">
      <alignment horizontal="right" vertical="center" shrinkToFit="1"/>
      <protection locked="0"/>
    </xf>
    <xf numFmtId="177" fontId="27" fillId="5" borderId="81" xfId="0" applyNumberFormat="1" applyFont="1" applyFill="1" applyBorder="1" applyAlignment="1" applyProtection="1">
      <alignment horizontal="right" vertical="center" shrinkToFit="1"/>
      <protection locked="0"/>
    </xf>
    <xf numFmtId="176" fontId="27" fillId="5" borderId="81" xfId="0" applyNumberFormat="1" applyFont="1" applyFill="1" applyBorder="1" applyAlignment="1" applyProtection="1">
      <alignment horizontal="right" vertical="center" shrinkToFit="1"/>
      <protection locked="0"/>
    </xf>
    <xf numFmtId="176" fontId="27" fillId="5" borderId="82" xfId="0" applyNumberFormat="1" applyFont="1" applyFill="1" applyBorder="1" applyAlignment="1" applyProtection="1">
      <alignment horizontal="right" vertical="center" shrinkToFit="1"/>
      <protection locked="0"/>
    </xf>
    <xf numFmtId="0" fontId="33" fillId="0" borderId="0" xfId="0" applyFont="1" applyAlignment="1">
      <alignment horizontal="right" vertical="center" shrinkToFit="1"/>
    </xf>
    <xf numFmtId="0" fontId="77" fillId="0" borderId="106" xfId="0" applyFont="1" applyBorder="1" applyAlignment="1">
      <alignment horizontal="center" vertical="center"/>
    </xf>
    <xf numFmtId="176" fontId="27" fillId="0" borderId="93" xfId="0" applyNumberFormat="1" applyFont="1" applyBorder="1" applyAlignment="1">
      <alignment horizontal="right" vertical="center"/>
    </xf>
    <xf numFmtId="176" fontId="27" fillId="0" borderId="75" xfId="0" applyNumberFormat="1" applyFont="1" applyBorder="1" applyAlignment="1">
      <alignment horizontal="right" vertical="center"/>
    </xf>
    <xf numFmtId="188" fontId="27" fillId="0" borderId="7" xfId="0" applyNumberFormat="1" applyFont="1" applyBorder="1" applyAlignment="1">
      <alignment horizontal="right" vertical="center"/>
    </xf>
    <xf numFmtId="176" fontId="27" fillId="0" borderId="84" xfId="0" applyNumberFormat="1" applyFont="1" applyBorder="1" applyAlignment="1">
      <alignment horizontal="right" vertical="center"/>
    </xf>
    <xf numFmtId="177" fontId="27" fillId="0" borderId="77" xfId="0" applyNumberFormat="1" applyFont="1" applyBorder="1" applyAlignment="1">
      <alignment horizontal="right" vertical="center"/>
    </xf>
    <xf numFmtId="177" fontId="27" fillId="0" borderId="7" xfId="0" applyNumberFormat="1" applyFont="1" applyBorder="1" applyAlignment="1">
      <alignment horizontal="right" vertical="center"/>
    </xf>
    <xf numFmtId="176" fontId="77" fillId="0" borderId="85" xfId="0" applyNumberFormat="1" applyFont="1" applyBorder="1" applyAlignment="1">
      <alignment horizontal="right" vertical="center"/>
    </xf>
    <xf numFmtId="177" fontId="27" fillId="0" borderId="75" xfId="0" applyNumberFormat="1" applyFont="1" applyBorder="1" applyAlignment="1">
      <alignment horizontal="right" vertical="center"/>
    </xf>
    <xf numFmtId="177" fontId="27" fillId="0" borderId="87" xfId="0" applyNumberFormat="1" applyFont="1" applyBorder="1" applyAlignment="1">
      <alignment horizontal="right" vertical="center"/>
    </xf>
    <xf numFmtId="176" fontId="27" fillId="0" borderId="84" xfId="0" applyNumberFormat="1" applyFont="1" applyBorder="1" applyAlignment="1" applyProtection="1">
      <alignment horizontal="right" vertical="center"/>
      <protection locked="0"/>
    </xf>
    <xf numFmtId="177" fontId="27" fillId="0" borderId="75" xfId="0" applyNumberFormat="1" applyFont="1" applyBorder="1" applyAlignment="1" applyProtection="1">
      <alignment horizontal="right" vertical="center"/>
      <protection locked="0"/>
    </xf>
    <xf numFmtId="176" fontId="27" fillId="0" borderId="75" xfId="0" applyNumberFormat="1" applyFont="1" applyBorder="1" applyAlignment="1" applyProtection="1">
      <alignment horizontal="right" vertical="center"/>
      <protection locked="0"/>
    </xf>
    <xf numFmtId="176" fontId="27" fillId="0" borderId="77" xfId="0" applyNumberFormat="1" applyFont="1" applyBorder="1" applyAlignment="1" applyProtection="1">
      <alignment horizontal="right" vertical="center"/>
      <protection locked="0"/>
    </xf>
    <xf numFmtId="176" fontId="27" fillId="3" borderId="32" xfId="0" applyNumberFormat="1" applyFont="1" applyFill="1" applyBorder="1" applyAlignment="1">
      <alignment horizontal="right" vertical="center"/>
    </xf>
    <xf numFmtId="176" fontId="27" fillId="3" borderId="89" xfId="0" applyNumberFormat="1" applyFont="1" applyFill="1" applyBorder="1" applyAlignment="1">
      <alignment horizontal="right" vertical="center"/>
    </xf>
    <xf numFmtId="176" fontId="27" fillId="3" borderId="73" xfId="0" applyNumberFormat="1" applyFont="1" applyFill="1" applyBorder="1" applyAlignment="1">
      <alignment horizontal="right" vertical="center"/>
    </xf>
    <xf numFmtId="176" fontId="27" fillId="3" borderId="44" xfId="0" applyNumberFormat="1" applyFont="1" applyFill="1" applyBorder="1" applyAlignment="1">
      <alignment horizontal="right" vertical="center"/>
    </xf>
    <xf numFmtId="176" fontId="27" fillId="3" borderId="40" xfId="0" applyNumberFormat="1" applyFont="1" applyFill="1" applyBorder="1" applyAlignment="1">
      <alignment horizontal="right" vertical="center"/>
    </xf>
    <xf numFmtId="49" fontId="27" fillId="3" borderId="53" xfId="0" applyNumberFormat="1" applyFont="1" applyFill="1" applyBorder="1" applyAlignment="1">
      <alignment horizontal="right" vertical="center"/>
    </xf>
    <xf numFmtId="183" fontId="27" fillId="3" borderId="53" xfId="0" applyNumberFormat="1" applyFont="1" applyFill="1" applyBorder="1" applyAlignment="1">
      <alignment horizontal="right" vertical="center"/>
    </xf>
    <xf numFmtId="0" fontId="27" fillId="3" borderId="42" xfId="0" applyFont="1" applyFill="1" applyBorder="1" applyAlignment="1">
      <alignment horizontal="right" vertical="center" justifyLastLine="1"/>
    </xf>
    <xf numFmtId="38" fontId="27" fillId="3" borderId="56" xfId="1" applyFont="1" applyFill="1" applyBorder="1" applyAlignment="1">
      <alignment vertical="center" justifyLastLine="1"/>
    </xf>
    <xf numFmtId="0" fontId="77" fillId="0" borderId="8" xfId="0" applyFont="1" applyBorder="1" applyAlignment="1">
      <alignment horizontal="distributed" vertical="center" justifyLastLine="1"/>
    </xf>
    <xf numFmtId="189" fontId="27" fillId="3" borderId="44" xfId="0" applyNumberFormat="1" applyFont="1" applyFill="1" applyBorder="1" applyAlignment="1">
      <alignment horizontal="right" vertical="center"/>
    </xf>
    <xf numFmtId="176" fontId="27" fillId="2" borderId="56" xfId="0" applyNumberFormat="1" applyFont="1" applyFill="1" applyBorder="1" applyAlignment="1">
      <alignment horizontal="right" vertical="center"/>
    </xf>
    <xf numFmtId="176" fontId="27" fillId="2" borderId="44" xfId="0" applyNumberFormat="1" applyFont="1" applyFill="1" applyBorder="1" applyAlignment="1">
      <alignment horizontal="right" vertical="center"/>
    </xf>
    <xf numFmtId="183" fontId="27" fillId="2" borderId="53" xfId="0" applyNumberFormat="1" applyFont="1" applyFill="1" applyBorder="1" applyAlignment="1">
      <alignment horizontal="right" vertical="center"/>
    </xf>
    <xf numFmtId="0" fontId="27" fillId="2" borderId="42" xfId="0" applyFont="1" applyFill="1" applyBorder="1" applyAlignment="1">
      <alignment horizontal="right" vertical="center" justifyLastLine="1"/>
    </xf>
    <xf numFmtId="38" fontId="27" fillId="2" borderId="56" xfId="1" applyFont="1" applyFill="1" applyBorder="1" applyAlignment="1">
      <alignment vertical="center" justifyLastLine="1"/>
    </xf>
    <xf numFmtId="189" fontId="27" fillId="2" borderId="44" xfId="0" applyNumberFormat="1" applyFont="1" applyFill="1" applyBorder="1" applyAlignment="1">
      <alignment horizontal="right" vertical="center"/>
    </xf>
    <xf numFmtId="183" fontId="27" fillId="0" borderId="53" xfId="0" applyNumberFormat="1" applyFont="1" applyBorder="1" applyAlignment="1">
      <alignment horizontal="right" vertical="center"/>
    </xf>
    <xf numFmtId="0" fontId="27" fillId="0" borderId="42" xfId="0" applyFont="1" applyBorder="1" applyAlignment="1">
      <alignment horizontal="right" vertical="center" justifyLastLine="1"/>
    </xf>
    <xf numFmtId="38" fontId="27" fillId="0" borderId="56" xfId="1" applyFont="1" applyBorder="1" applyAlignment="1">
      <alignment vertical="center" justifyLastLine="1"/>
    </xf>
    <xf numFmtId="189" fontId="27" fillId="0" borderId="44" xfId="0" applyNumberFormat="1" applyFont="1" applyBorder="1" applyAlignment="1">
      <alignment horizontal="right" vertical="center"/>
    </xf>
    <xf numFmtId="183" fontId="27" fillId="5" borderId="53" xfId="0" applyNumberFormat="1" applyFont="1" applyFill="1" applyBorder="1" applyAlignment="1">
      <alignment horizontal="right" vertical="center"/>
    </xf>
    <xf numFmtId="0" fontId="27" fillId="5" borderId="42" xfId="0" applyFont="1" applyFill="1" applyBorder="1" applyAlignment="1">
      <alignment horizontal="right" vertical="center" justifyLastLine="1"/>
    </xf>
    <xf numFmtId="38" fontId="27" fillId="5" borderId="56" xfId="1" applyFont="1" applyFill="1" applyBorder="1" applyAlignment="1">
      <alignment vertical="center" justifyLastLine="1"/>
    </xf>
    <xf numFmtId="189" fontId="27" fillId="5" borderId="44" xfId="0" applyNumberFormat="1" applyFont="1" applyFill="1" applyBorder="1" applyAlignment="1">
      <alignment horizontal="right" vertical="center"/>
    </xf>
    <xf numFmtId="176" fontId="27" fillId="4" borderId="0" xfId="0" applyNumberFormat="1" applyFont="1" applyFill="1" applyAlignment="1">
      <alignment horizontal="right" vertical="center"/>
    </xf>
    <xf numFmtId="176" fontId="27" fillId="4" borderId="51" xfId="0" applyNumberFormat="1" applyFont="1" applyFill="1" applyBorder="1" applyAlignment="1">
      <alignment horizontal="right" vertical="center"/>
    </xf>
    <xf numFmtId="176" fontId="27" fillId="4" borderId="56" xfId="0" applyNumberFormat="1" applyFont="1" applyFill="1" applyBorder="1" applyAlignment="1">
      <alignment horizontal="right" vertical="center"/>
    </xf>
    <xf numFmtId="176" fontId="27" fillId="4" borderId="44" xfId="0" applyNumberFormat="1" applyFont="1" applyFill="1" applyBorder="1" applyAlignment="1">
      <alignment horizontal="right" vertical="center"/>
    </xf>
    <xf numFmtId="176" fontId="27" fillId="4" borderId="47" xfId="0" applyNumberFormat="1" applyFont="1" applyFill="1" applyBorder="1" applyAlignment="1">
      <alignment horizontal="right" vertical="center"/>
    </xf>
    <xf numFmtId="0" fontId="27" fillId="4" borderId="42" xfId="0" applyFont="1" applyFill="1" applyBorder="1" applyAlignment="1">
      <alignment horizontal="right" vertical="center" justifyLastLine="1"/>
    </xf>
    <xf numFmtId="38" fontId="27" fillId="4" borderId="56" xfId="1" applyFont="1" applyFill="1" applyBorder="1" applyAlignment="1">
      <alignment vertical="center" justifyLastLine="1"/>
    </xf>
    <xf numFmtId="0" fontId="77" fillId="0" borderId="0" xfId="0" applyFont="1" applyAlignment="1">
      <alignment horizontal="distributed" vertical="center" justifyLastLine="1"/>
    </xf>
    <xf numFmtId="38" fontId="27" fillId="5" borderId="56" xfId="1" applyFont="1" applyFill="1" applyBorder="1" applyAlignment="1">
      <alignment horizontal="right" vertical="center" justifyLastLine="1"/>
    </xf>
    <xf numFmtId="176" fontId="27" fillId="3" borderId="42" xfId="4" applyNumberFormat="1" applyFont="1" applyFill="1" applyBorder="1" applyAlignment="1">
      <alignment horizontal="right" vertical="center"/>
    </xf>
    <xf numFmtId="176" fontId="27" fillId="3" borderId="44" xfId="4" applyNumberFormat="1" applyFont="1" applyFill="1" applyBorder="1" applyAlignment="1">
      <alignment horizontal="right" vertical="center"/>
    </xf>
    <xf numFmtId="38" fontId="27" fillId="0" borderId="56" xfId="8" applyFont="1" applyBorder="1" applyAlignment="1">
      <alignment vertical="center" justifyLastLine="1"/>
    </xf>
    <xf numFmtId="0" fontId="33" fillId="0" borderId="8" xfId="0" applyFont="1" applyBorder="1">
      <alignment vertical="center"/>
    </xf>
    <xf numFmtId="176" fontId="27" fillId="3" borderId="8" xfId="0" quotePrefix="1" applyNumberFormat="1" applyFont="1" applyFill="1" applyBorder="1" applyAlignment="1">
      <alignment horizontal="right" vertical="center"/>
    </xf>
    <xf numFmtId="176" fontId="27" fillId="3" borderId="53" xfId="0" quotePrefix="1" applyNumberFormat="1" applyFont="1" applyFill="1" applyBorder="1" applyAlignment="1">
      <alignment horizontal="right" vertical="center"/>
    </xf>
    <xf numFmtId="176" fontId="27" fillId="3" borderId="51" xfId="0" quotePrefix="1" applyNumberFormat="1" applyFont="1" applyFill="1" applyBorder="1" applyAlignment="1">
      <alignment horizontal="right" vertical="center"/>
    </xf>
    <xf numFmtId="176" fontId="27" fillId="3" borderId="44" xfId="0" quotePrefix="1" applyNumberFormat="1" applyFont="1" applyFill="1" applyBorder="1" applyAlignment="1">
      <alignment horizontal="right" vertical="center"/>
    </xf>
    <xf numFmtId="176" fontId="27" fillId="3" borderId="0" xfId="0" quotePrefix="1" applyNumberFormat="1" applyFont="1" applyFill="1" applyAlignment="1">
      <alignment horizontal="right" vertical="center"/>
    </xf>
    <xf numFmtId="0" fontId="27" fillId="2" borderId="42" xfId="0" applyFont="1" applyFill="1" applyBorder="1" applyAlignment="1">
      <alignment horizontal="right" vertical="center"/>
    </xf>
    <xf numFmtId="38" fontId="27" fillId="2" borderId="56" xfId="1" applyFont="1" applyFill="1" applyBorder="1">
      <alignment vertical="center"/>
    </xf>
    <xf numFmtId="0" fontId="77" fillId="0" borderId="8" xfId="0" applyFont="1" applyBorder="1" applyAlignment="1">
      <alignment horizontal="distributed" vertical="center"/>
    </xf>
    <xf numFmtId="176" fontId="27" fillId="3" borderId="121" xfId="0" applyNumberFormat="1" applyFont="1" applyFill="1" applyBorder="1" applyAlignment="1">
      <alignment horizontal="right" vertical="center" wrapText="1"/>
    </xf>
    <xf numFmtId="0" fontId="27" fillId="3" borderId="42" xfId="0" applyFont="1" applyFill="1" applyBorder="1" applyAlignment="1">
      <alignment horizontal="right" vertical="center"/>
    </xf>
    <xf numFmtId="38" fontId="27" fillId="3" borderId="56" xfId="1" applyFont="1" applyFill="1" applyBorder="1">
      <alignment vertical="center"/>
    </xf>
    <xf numFmtId="176" fontId="27" fillId="0" borderId="56" xfId="0" applyNumberFormat="1" applyFont="1" applyBorder="1" applyAlignment="1">
      <alignment horizontal="right" vertical="center"/>
    </xf>
    <xf numFmtId="38" fontId="27" fillId="0" borderId="56" xfId="1" applyFont="1" applyFill="1" applyBorder="1" applyAlignment="1">
      <alignment vertical="center" justifyLastLine="1"/>
    </xf>
    <xf numFmtId="176" fontId="27" fillId="0" borderId="53" xfId="0" quotePrefix="1" applyNumberFormat="1" applyFont="1" applyBorder="1" applyAlignment="1">
      <alignment horizontal="right" vertical="center"/>
    </xf>
    <xf numFmtId="0" fontId="27" fillId="5" borderId="44" xfId="0" applyFont="1" applyFill="1" applyBorder="1" applyAlignment="1">
      <alignment horizontal="right" vertical="center"/>
    </xf>
    <xf numFmtId="0" fontId="27" fillId="0" borderId="44" xfId="0" applyFont="1" applyBorder="1" applyAlignment="1">
      <alignment horizontal="right" vertical="center"/>
    </xf>
    <xf numFmtId="38" fontId="27" fillId="2" borderId="56" xfId="1" applyFont="1" applyFill="1" applyBorder="1" applyAlignment="1">
      <alignment vertical="center"/>
    </xf>
    <xf numFmtId="38" fontId="27" fillId="3" borderId="47" xfId="1" applyFont="1" applyFill="1" applyBorder="1" applyAlignment="1">
      <alignment vertical="center" justifyLastLine="1"/>
    </xf>
    <xf numFmtId="38" fontId="27" fillId="2" borderId="56" xfId="1" applyFont="1" applyFill="1" applyBorder="1" applyAlignment="1">
      <alignment horizontal="right" vertical="center" justifyLastLine="1"/>
    </xf>
    <xf numFmtId="176" fontId="33" fillId="3" borderId="53" xfId="0" applyNumberFormat="1" applyFont="1" applyFill="1" applyBorder="1" applyAlignment="1">
      <alignment horizontal="right" vertical="center"/>
    </xf>
    <xf numFmtId="38" fontId="27" fillId="3" borderId="56" xfId="8" applyFont="1" applyFill="1" applyBorder="1" applyAlignment="1">
      <alignment horizontal="right" vertical="center" justifyLastLine="1"/>
    </xf>
    <xf numFmtId="38" fontId="27" fillId="3" borderId="56" xfId="8" applyFont="1" applyFill="1" applyBorder="1" applyAlignment="1">
      <alignment vertical="center" justifyLastLine="1"/>
    </xf>
    <xf numFmtId="176" fontId="27" fillId="3" borderId="47" xfId="0" applyNumberFormat="1" applyFont="1" applyFill="1" applyBorder="1" applyAlignment="1">
      <alignment horizontal="right" vertical="center" shrinkToFit="1"/>
    </xf>
    <xf numFmtId="38" fontId="27" fillId="3" borderId="47" xfId="1" applyFont="1" applyFill="1" applyBorder="1" applyAlignment="1">
      <alignment horizontal="right" vertical="center"/>
    </xf>
    <xf numFmtId="0" fontId="27" fillId="0" borderId="8" xfId="0" applyFont="1" applyBorder="1" applyAlignment="1">
      <alignment horizontal="distributed" vertical="center" justifyLastLine="1"/>
    </xf>
    <xf numFmtId="0" fontId="27" fillId="2" borderId="8" xfId="0" applyFont="1" applyFill="1" applyBorder="1" applyAlignment="1">
      <alignment horizontal="right" vertical="center"/>
    </xf>
    <xf numFmtId="38" fontId="27" fillId="2" borderId="47" xfId="1" applyFont="1" applyFill="1" applyBorder="1" applyAlignment="1">
      <alignment horizontal="right" vertical="center"/>
    </xf>
    <xf numFmtId="1" fontId="27" fillId="3" borderId="8" xfId="0" applyNumberFormat="1" applyFont="1" applyFill="1" applyBorder="1" applyAlignment="1">
      <alignment horizontal="right" vertical="center" justifyLastLine="1"/>
    </xf>
    <xf numFmtId="38" fontId="27" fillId="5" borderId="53" xfId="0" applyNumberFormat="1" applyFont="1" applyFill="1" applyBorder="1" applyAlignment="1" applyProtection="1">
      <alignment horizontal="right" vertical="center"/>
      <protection locked="0"/>
    </xf>
    <xf numFmtId="176" fontId="27" fillId="5" borderId="51" xfId="0" applyNumberFormat="1" applyFont="1" applyFill="1" applyBorder="1" applyAlignment="1" applyProtection="1">
      <alignment horizontal="right" vertical="center"/>
      <protection locked="0"/>
    </xf>
    <xf numFmtId="176" fontId="27" fillId="5" borderId="53" xfId="0" applyNumberFormat="1" applyFont="1" applyFill="1" applyBorder="1" applyAlignment="1">
      <alignment horizontal="right" vertical="center" shrinkToFit="1"/>
    </xf>
    <xf numFmtId="176" fontId="27" fillId="5" borderId="42" xfId="0" applyNumberFormat="1" applyFont="1" applyFill="1" applyBorder="1" applyAlignment="1">
      <alignment horizontal="right" vertical="center" shrinkToFit="1"/>
    </xf>
    <xf numFmtId="177" fontId="27" fillId="5" borderId="53" xfId="0" applyNumberFormat="1" applyFont="1" applyFill="1" applyBorder="1" applyAlignment="1">
      <alignment horizontal="right" vertical="center" shrinkToFit="1"/>
    </xf>
    <xf numFmtId="176" fontId="27" fillId="5" borderId="51" xfId="0" applyNumberFormat="1" applyFont="1" applyFill="1" applyBorder="1" applyAlignment="1">
      <alignment horizontal="right" vertical="center" shrinkToFit="1"/>
    </xf>
    <xf numFmtId="177" fontId="27" fillId="5" borderId="123" xfId="0" applyNumberFormat="1" applyFont="1" applyFill="1" applyBorder="1" applyAlignment="1">
      <alignment horizontal="right" vertical="center"/>
    </xf>
    <xf numFmtId="177" fontId="20" fillId="4" borderId="47" xfId="0" applyNumberFormat="1" applyFont="1" applyFill="1" applyBorder="1">
      <alignment vertical="center"/>
    </xf>
    <xf numFmtId="176" fontId="27" fillId="5" borderId="126" xfId="0" applyNumberFormat="1" applyFont="1" applyFill="1" applyBorder="1" applyAlignment="1">
      <alignment horizontal="right" vertical="center"/>
    </xf>
    <xf numFmtId="177" fontId="27" fillId="0" borderId="86" xfId="0" applyNumberFormat="1" applyFont="1" applyBorder="1" applyAlignment="1" applyProtection="1">
      <alignment horizontal="right" vertical="center"/>
      <protection locked="0"/>
    </xf>
    <xf numFmtId="177" fontId="27" fillId="0" borderId="76" xfId="0" applyNumberFormat="1" applyFont="1" applyBorder="1" applyAlignment="1" applyProtection="1">
      <alignment horizontal="right" vertical="center"/>
      <protection locked="0"/>
    </xf>
    <xf numFmtId="177" fontId="27" fillId="0" borderId="133" xfId="0" applyNumberFormat="1" applyFont="1" applyBorder="1" applyAlignment="1" applyProtection="1">
      <alignment horizontal="right" vertical="center"/>
      <protection locked="0"/>
    </xf>
    <xf numFmtId="177" fontId="27" fillId="0" borderId="77" xfId="0" applyNumberFormat="1" applyFont="1" applyBorder="1" applyAlignment="1" applyProtection="1">
      <alignment horizontal="right" vertical="center"/>
      <protection locked="0"/>
    </xf>
    <xf numFmtId="177" fontId="27" fillId="3" borderId="39" xfId="0" applyNumberFormat="1" applyFont="1" applyFill="1" applyBorder="1" applyAlignment="1" applyProtection="1">
      <alignment horizontal="right" vertical="center"/>
      <protection locked="0"/>
    </xf>
    <xf numFmtId="176" fontId="27" fillId="3" borderId="40" xfId="0" applyNumberFormat="1" applyFont="1" applyFill="1" applyBorder="1" applyAlignment="1" applyProtection="1">
      <alignment horizontal="right" vertical="center"/>
      <protection locked="0"/>
    </xf>
    <xf numFmtId="177" fontId="27" fillId="3" borderId="44" xfId="0" applyNumberFormat="1" applyFont="1" applyFill="1" applyBorder="1" applyAlignment="1" applyProtection="1">
      <alignment horizontal="right" vertical="center"/>
      <protection locked="0"/>
    </xf>
    <xf numFmtId="176" fontId="27" fillId="3" borderId="38" xfId="0" applyNumberFormat="1" applyFont="1" applyFill="1" applyBorder="1" applyAlignment="1" applyProtection="1">
      <alignment horizontal="right" vertical="center"/>
      <protection locked="0"/>
    </xf>
    <xf numFmtId="177" fontId="27" fillId="3" borderId="47" xfId="0" applyNumberFormat="1" applyFont="1" applyFill="1" applyBorder="1" applyAlignment="1" applyProtection="1">
      <alignment horizontal="right" vertical="center"/>
      <protection locked="0"/>
    </xf>
    <xf numFmtId="176" fontId="27" fillId="3" borderId="126" xfId="0" applyNumberFormat="1" applyFont="1" applyFill="1" applyBorder="1" applyAlignment="1" applyProtection="1">
      <alignment horizontal="right" vertical="center"/>
      <protection locked="0"/>
    </xf>
    <xf numFmtId="177" fontId="27" fillId="3" borderId="47" xfId="0" applyNumberFormat="1" applyFont="1" applyFill="1" applyBorder="1" applyProtection="1">
      <alignment vertical="center"/>
      <protection locked="0"/>
    </xf>
    <xf numFmtId="176" fontId="27" fillId="2" borderId="51" xfId="0" applyNumberFormat="1" applyFont="1" applyFill="1" applyBorder="1" applyAlignment="1" applyProtection="1">
      <alignment horizontal="right" vertical="center"/>
      <protection locked="0"/>
    </xf>
    <xf numFmtId="177" fontId="27" fillId="2" borderId="51" xfId="0" applyNumberFormat="1" applyFont="1" applyFill="1" applyBorder="1" applyAlignment="1" applyProtection="1">
      <alignment horizontal="right" vertical="center"/>
      <protection locked="0"/>
    </xf>
    <xf numFmtId="177" fontId="27" fillId="2" borderId="47" xfId="0" applyNumberFormat="1" applyFont="1" applyFill="1" applyBorder="1" applyAlignment="1" applyProtection="1">
      <alignment horizontal="right" vertical="center"/>
      <protection locked="0"/>
    </xf>
    <xf numFmtId="177" fontId="27" fillId="2" borderId="44" xfId="0" applyNumberFormat="1" applyFont="1" applyFill="1" applyBorder="1" applyAlignment="1" applyProtection="1">
      <alignment horizontal="right" vertical="center"/>
      <protection locked="0"/>
    </xf>
    <xf numFmtId="176" fontId="27" fillId="2" borderId="126" xfId="0" applyNumberFormat="1" applyFont="1" applyFill="1" applyBorder="1" applyAlignment="1" applyProtection="1">
      <alignment horizontal="right" vertical="center"/>
      <protection locked="0"/>
    </xf>
    <xf numFmtId="177" fontId="27" fillId="2" borderId="47" xfId="0" applyNumberFormat="1" applyFont="1" applyFill="1" applyBorder="1" applyProtection="1">
      <alignment vertical="center"/>
      <protection locked="0"/>
    </xf>
    <xf numFmtId="176" fontId="27" fillId="5" borderId="126" xfId="0" applyNumberFormat="1" applyFont="1" applyFill="1" applyBorder="1" applyAlignment="1" applyProtection="1">
      <alignment horizontal="right" vertical="center"/>
      <protection locked="0"/>
    </xf>
    <xf numFmtId="177" fontId="27" fillId="5" borderId="47" xfId="0" applyNumberFormat="1" applyFont="1" applyFill="1" applyBorder="1" applyProtection="1">
      <alignment vertical="center"/>
      <protection locked="0"/>
    </xf>
    <xf numFmtId="176" fontId="27" fillId="3" borderId="51" xfId="0" applyNumberFormat="1" applyFont="1" applyFill="1" applyBorder="1">
      <alignment vertical="center"/>
    </xf>
    <xf numFmtId="177" fontId="27" fillId="3" borderId="53" xfId="0" applyNumberFormat="1" applyFont="1" applyFill="1" applyBorder="1">
      <alignment vertical="center"/>
    </xf>
    <xf numFmtId="176" fontId="27" fillId="3" borderId="53" xfId="0" applyNumberFormat="1" applyFont="1" applyFill="1" applyBorder="1">
      <alignment vertical="center"/>
    </xf>
    <xf numFmtId="176" fontId="27" fillId="3" borderId="126" xfId="0" applyNumberFormat="1" applyFont="1" applyFill="1" applyBorder="1" applyProtection="1">
      <alignment vertical="center"/>
      <protection locked="0"/>
    </xf>
    <xf numFmtId="177" fontId="27" fillId="0" borderId="44" xfId="0" applyNumberFormat="1" applyFont="1" applyBorder="1" applyAlignment="1" applyProtection="1">
      <alignment horizontal="right" vertical="center"/>
      <protection locked="0"/>
    </xf>
    <xf numFmtId="176" fontId="27" fillId="0" borderId="51" xfId="0" applyNumberFormat="1" applyFont="1" applyBorder="1" applyAlignment="1" applyProtection="1">
      <alignment horizontal="right" vertical="center"/>
      <protection locked="0"/>
    </xf>
    <xf numFmtId="177" fontId="27" fillId="0" borderId="47" xfId="0" applyNumberFormat="1" applyFont="1" applyBorder="1" applyAlignment="1" applyProtection="1">
      <alignment horizontal="right" vertical="center"/>
      <protection locked="0"/>
    </xf>
    <xf numFmtId="177" fontId="27" fillId="0" borderId="47" xfId="0" applyNumberFormat="1" applyFont="1" applyBorder="1" applyProtection="1">
      <alignment vertical="center"/>
      <protection locked="0"/>
    </xf>
    <xf numFmtId="176" fontId="27" fillId="3" borderId="53" xfId="0" quotePrefix="1" applyNumberFormat="1" applyFont="1" applyFill="1" applyBorder="1" applyAlignment="1" applyProtection="1">
      <alignment horizontal="right" vertical="center"/>
      <protection locked="0"/>
    </xf>
    <xf numFmtId="176" fontId="27" fillId="0" borderId="53" xfId="0" quotePrefix="1" applyNumberFormat="1" applyFont="1" applyBorder="1" applyAlignment="1" applyProtection="1">
      <alignment horizontal="right" vertical="center"/>
      <protection locked="0"/>
    </xf>
    <xf numFmtId="176" fontId="27" fillId="0" borderId="126" xfId="0" applyNumberFormat="1" applyFont="1" applyBorder="1" applyAlignment="1" applyProtection="1">
      <alignment horizontal="right" vertical="center"/>
      <protection locked="0"/>
    </xf>
    <xf numFmtId="176" fontId="27" fillId="3" borderId="44" xfId="0" applyNumberFormat="1" applyFont="1" applyFill="1" applyBorder="1" applyAlignment="1" applyProtection="1">
      <alignment horizontal="right" vertical="center"/>
      <protection locked="0"/>
    </xf>
    <xf numFmtId="176" fontId="27" fillId="0" borderId="51" xfId="0" quotePrefix="1" applyNumberFormat="1" applyFont="1" applyBorder="1" applyAlignment="1" applyProtection="1">
      <alignment horizontal="right" vertical="center"/>
      <protection locked="0"/>
    </xf>
    <xf numFmtId="177" fontId="27" fillId="0" borderId="53" xfId="0" quotePrefix="1" applyNumberFormat="1" applyFont="1" applyBorder="1" applyAlignment="1" applyProtection="1">
      <alignment horizontal="right" vertical="center"/>
      <protection locked="0"/>
    </xf>
    <xf numFmtId="176" fontId="27" fillId="3" borderId="0" xfId="0" applyNumberFormat="1" applyFont="1" applyFill="1" applyAlignment="1" applyProtection="1">
      <alignment horizontal="right" vertical="center"/>
      <protection locked="0"/>
    </xf>
    <xf numFmtId="177" fontId="27" fillId="3" borderId="0" xfId="0" applyNumberFormat="1" applyFont="1" applyFill="1" applyAlignment="1" applyProtection="1">
      <alignment horizontal="right" vertical="center"/>
      <protection locked="0"/>
    </xf>
    <xf numFmtId="176" fontId="27" fillId="3" borderId="130" xfId="0" applyNumberFormat="1" applyFont="1" applyFill="1" applyBorder="1" applyAlignment="1" applyProtection="1">
      <alignment horizontal="right" vertical="center"/>
      <protection locked="0"/>
    </xf>
    <xf numFmtId="176" fontId="27" fillId="2" borderId="0" xfId="0" applyNumberFormat="1" applyFont="1" applyFill="1" applyAlignment="1" applyProtection="1">
      <alignment horizontal="right" vertical="center"/>
      <protection locked="0"/>
    </xf>
    <xf numFmtId="177" fontId="27" fillId="2" borderId="56" xfId="0" applyNumberFormat="1" applyFont="1" applyFill="1" applyBorder="1" applyAlignment="1" applyProtection="1">
      <alignment horizontal="right" vertical="center"/>
      <protection locked="0"/>
    </xf>
    <xf numFmtId="177" fontId="27" fillId="2" borderId="0" xfId="0" applyNumberFormat="1" applyFont="1" applyFill="1" applyAlignment="1" applyProtection="1">
      <alignment horizontal="right" vertical="center"/>
      <protection locked="0"/>
    </xf>
    <xf numFmtId="177" fontId="27" fillId="3" borderId="56" xfId="0" applyNumberFormat="1" applyFont="1" applyFill="1" applyBorder="1" applyAlignment="1" applyProtection="1">
      <alignment horizontal="right" vertical="center"/>
      <protection locked="0"/>
    </xf>
    <xf numFmtId="176" fontId="27" fillId="2" borderId="75" xfId="0" applyNumberFormat="1" applyFont="1" applyFill="1" applyBorder="1" applyAlignment="1" applyProtection="1">
      <alignment horizontal="right" vertical="center"/>
      <protection locked="0"/>
    </xf>
    <xf numFmtId="176" fontId="27" fillId="2" borderId="86" xfId="0" applyNumberFormat="1" applyFont="1" applyFill="1" applyBorder="1" applyAlignment="1" applyProtection="1">
      <alignment horizontal="right" vertical="center"/>
      <protection locked="0"/>
    </xf>
    <xf numFmtId="0" fontId="78" fillId="0" borderId="0" xfId="0" applyFont="1">
      <alignment vertical="center"/>
    </xf>
    <xf numFmtId="182" fontId="27" fillId="0" borderId="51" xfId="0" applyNumberFormat="1" applyFont="1" applyBorder="1" applyAlignment="1" applyProtection="1">
      <alignment horizontal="right" vertical="center"/>
      <protection locked="0"/>
    </xf>
    <xf numFmtId="182" fontId="20" fillId="0" borderId="75" xfId="0" applyNumberFormat="1" applyFont="1" applyBorder="1" applyAlignment="1" applyProtection="1">
      <alignment horizontal="right" vertical="center"/>
      <protection locked="0"/>
    </xf>
    <xf numFmtId="186" fontId="27" fillId="0" borderId="53" xfId="0" applyNumberFormat="1" applyFont="1" applyBorder="1" applyAlignment="1" applyProtection="1">
      <alignment horizontal="right" vertical="center"/>
      <protection locked="0"/>
    </xf>
    <xf numFmtId="0" fontId="0" fillId="2" borderId="1" xfId="0" applyFill="1" applyBorder="1" applyAlignment="1">
      <alignment vertical="center" wrapText="1"/>
    </xf>
    <xf numFmtId="0" fontId="24" fillId="0" borderId="0" xfId="0" applyFont="1" applyAlignment="1">
      <alignment horizontal="left" vertical="center" wrapText="1"/>
    </xf>
    <xf numFmtId="0" fontId="23" fillId="0" borderId="0" xfId="4" applyFont="1" applyAlignment="1">
      <alignment vertical="top" wrapText="1"/>
    </xf>
    <xf numFmtId="177" fontId="27" fillId="5" borderId="44" xfId="0" applyNumberFormat="1" applyFont="1" applyFill="1" applyBorder="1" applyAlignment="1">
      <alignment horizontal="right" vertical="center" shrinkToFit="1"/>
    </xf>
    <xf numFmtId="177" fontId="20" fillId="0" borderId="76" xfId="0" applyNumberFormat="1" applyFont="1" applyBorder="1" applyAlignment="1">
      <alignment horizontal="right" vertical="center"/>
    </xf>
    <xf numFmtId="176" fontId="20" fillId="0" borderId="44" xfId="4" applyNumberFormat="1" applyFont="1" applyBorder="1" applyAlignment="1">
      <alignment horizontal="right" vertical="center" wrapText="1"/>
    </xf>
    <xf numFmtId="176" fontId="20" fillId="0" borderId="47" xfId="4" applyNumberFormat="1" applyFont="1" applyBorder="1" applyAlignment="1">
      <alignment horizontal="right" vertical="center" wrapText="1"/>
    </xf>
    <xf numFmtId="176" fontId="20" fillId="0" borderId="42" xfId="4" applyNumberFormat="1" applyFont="1" applyBorder="1" applyAlignment="1">
      <alignment horizontal="right" vertical="center" wrapText="1"/>
    </xf>
    <xf numFmtId="177" fontId="20" fillId="0" borderId="53" xfId="4" applyNumberFormat="1" applyFont="1" applyBorder="1" applyAlignment="1">
      <alignment horizontal="right" vertical="center" wrapText="1"/>
    </xf>
    <xf numFmtId="176" fontId="20" fillId="0" borderId="53" xfId="4" applyNumberFormat="1" applyFont="1" applyBorder="1" applyAlignment="1">
      <alignment horizontal="right" vertical="center" wrapText="1"/>
    </xf>
    <xf numFmtId="176" fontId="27" fillId="0" borderId="47" xfId="4" applyNumberFormat="1" applyFont="1" applyBorder="1" applyAlignment="1">
      <alignment horizontal="right" vertical="center" wrapText="1"/>
    </xf>
    <xf numFmtId="177" fontId="20" fillId="5" borderId="74" xfId="0" applyNumberFormat="1" applyFont="1" applyFill="1" applyBorder="1" applyAlignment="1">
      <alignment horizontal="right" vertical="center" wrapText="1"/>
    </xf>
    <xf numFmtId="0" fontId="28" fillId="0" borderId="0" xfId="4" applyFont="1">
      <alignment vertical="center"/>
    </xf>
    <xf numFmtId="0" fontId="17" fillId="0" borderId="52" xfId="0" applyFont="1" applyBorder="1" applyAlignment="1">
      <alignment horizontal="center" vertical="center"/>
    </xf>
    <xf numFmtId="0" fontId="17" fillId="0" borderId="107" xfId="0" applyFont="1" applyBorder="1" applyAlignment="1">
      <alignment horizontal="center" vertical="center"/>
    </xf>
    <xf numFmtId="0" fontId="17" fillId="0" borderId="91" xfId="0" applyFont="1" applyBorder="1" applyAlignment="1">
      <alignment horizontal="center" vertical="center"/>
    </xf>
    <xf numFmtId="0" fontId="17" fillId="0" borderId="43" xfId="0" applyFont="1" applyBorder="1" applyAlignment="1">
      <alignment horizontal="center" vertical="center"/>
    </xf>
    <xf numFmtId="176" fontId="20" fillId="0" borderId="56" xfId="4" applyNumberFormat="1" applyFont="1" applyBorder="1" applyAlignment="1">
      <alignment horizontal="right" vertical="center"/>
    </xf>
    <xf numFmtId="176" fontId="80" fillId="2" borderId="42" xfId="0" applyNumberFormat="1" applyFont="1" applyFill="1" applyBorder="1" applyAlignment="1">
      <alignment horizontal="right" vertical="center"/>
    </xf>
    <xf numFmtId="176" fontId="80" fillId="2" borderId="53" xfId="0" applyNumberFormat="1" applyFont="1" applyFill="1" applyBorder="1" applyAlignment="1">
      <alignment horizontal="right" vertical="center"/>
    </xf>
    <xf numFmtId="176" fontId="80" fillId="2" borderId="51" xfId="0" applyNumberFormat="1" applyFont="1" applyFill="1" applyBorder="1" applyAlignment="1">
      <alignment horizontal="right" vertical="center"/>
    </xf>
    <xf numFmtId="176" fontId="80" fillId="2" borderId="0" xfId="0" applyNumberFormat="1" applyFont="1" applyFill="1" applyAlignment="1">
      <alignment horizontal="right" vertical="center"/>
    </xf>
    <xf numFmtId="176" fontId="81" fillId="3" borderId="42" xfId="0" applyNumberFormat="1" applyFont="1" applyFill="1" applyBorder="1" applyAlignment="1">
      <alignment horizontal="right" vertical="center"/>
    </xf>
    <xf numFmtId="176" fontId="81" fillId="3" borderId="53" xfId="0" applyNumberFormat="1" applyFont="1" applyFill="1" applyBorder="1" applyAlignment="1">
      <alignment horizontal="right" vertical="center"/>
    </xf>
    <xf numFmtId="176" fontId="17" fillId="3" borderId="38" xfId="0" applyNumberFormat="1" applyFont="1" applyFill="1" applyBorder="1" applyAlignment="1">
      <alignment horizontal="right" vertical="center"/>
    </xf>
    <xf numFmtId="176" fontId="17" fillId="3" borderId="0" xfId="0" applyNumberFormat="1" applyFont="1" applyFill="1" applyAlignment="1">
      <alignment horizontal="right" vertical="center"/>
    </xf>
    <xf numFmtId="177" fontId="17" fillId="3" borderId="47" xfId="0" applyNumberFormat="1" applyFont="1" applyFill="1" applyBorder="1" applyAlignment="1">
      <alignment horizontal="right" vertical="center"/>
    </xf>
    <xf numFmtId="176" fontId="17" fillId="3" borderId="44" xfId="0" applyNumberFormat="1" applyFont="1" applyFill="1" applyBorder="1" applyAlignment="1">
      <alignment horizontal="right" vertical="center"/>
    </xf>
    <xf numFmtId="176" fontId="17" fillId="0" borderId="44" xfId="0" applyNumberFormat="1" applyFont="1" applyBorder="1" applyAlignment="1">
      <alignment horizontal="right" vertical="center"/>
    </xf>
    <xf numFmtId="176" fontId="17" fillId="3" borderId="108" xfId="0" applyNumberFormat="1" applyFont="1" applyFill="1" applyBorder="1" applyAlignment="1">
      <alignment horizontal="right" vertical="center" wrapText="1"/>
    </xf>
    <xf numFmtId="176" fontId="17" fillId="3" borderId="100" xfId="0" applyNumberFormat="1" applyFont="1" applyFill="1" applyBorder="1" applyAlignment="1">
      <alignment horizontal="right" vertical="center" wrapText="1"/>
    </xf>
    <xf numFmtId="177" fontId="17" fillId="3" borderId="109" xfId="0" applyNumberFormat="1" applyFont="1" applyFill="1" applyBorder="1" applyAlignment="1">
      <alignment horizontal="right" vertical="center" wrapText="1"/>
    </xf>
    <xf numFmtId="176" fontId="17" fillId="0" borderId="100" xfId="0" applyNumberFormat="1" applyFont="1" applyBorder="1" applyAlignment="1">
      <alignment horizontal="right" vertical="center" wrapText="1"/>
    </xf>
    <xf numFmtId="176" fontId="17" fillId="0" borderId="53" xfId="0" quotePrefix="1" applyNumberFormat="1" applyFont="1" applyBorder="1" applyAlignment="1">
      <alignment horizontal="right" vertical="center"/>
    </xf>
    <xf numFmtId="176" fontId="17" fillId="4" borderId="42" xfId="0" applyNumberFormat="1" applyFont="1" applyFill="1" applyBorder="1" applyAlignment="1">
      <alignment horizontal="right" vertical="center"/>
    </xf>
    <xf numFmtId="176" fontId="17" fillId="4" borderId="53" xfId="0" applyNumberFormat="1" applyFont="1" applyFill="1" applyBorder="1" applyAlignment="1">
      <alignment horizontal="right" vertical="center"/>
    </xf>
    <xf numFmtId="176" fontId="17" fillId="4" borderId="44" xfId="0" applyNumberFormat="1" applyFont="1" applyFill="1" applyBorder="1" applyAlignment="1">
      <alignment horizontal="right" vertical="center"/>
    </xf>
    <xf numFmtId="177" fontId="17" fillId="4" borderId="47" xfId="0" applyNumberFormat="1" applyFont="1" applyFill="1" applyBorder="1" applyAlignment="1">
      <alignment horizontal="right" vertical="center"/>
    </xf>
    <xf numFmtId="176" fontId="17" fillId="5" borderId="8" xfId="0" applyNumberFormat="1" applyFont="1" applyFill="1" applyBorder="1" applyAlignment="1">
      <alignment horizontal="right" vertical="center"/>
    </xf>
    <xf numFmtId="177" fontId="17" fillId="5" borderId="56" xfId="0" applyNumberFormat="1" applyFont="1" applyFill="1" applyBorder="1" applyAlignment="1">
      <alignment horizontal="right" vertical="center"/>
    </xf>
    <xf numFmtId="176" fontId="17" fillId="2" borderId="8" xfId="0" applyNumberFormat="1" applyFont="1" applyFill="1" applyBorder="1" applyAlignment="1">
      <alignment horizontal="right" vertical="center"/>
    </xf>
    <xf numFmtId="177" fontId="17" fillId="2" borderId="56" xfId="0" applyNumberFormat="1" applyFont="1" applyFill="1" applyBorder="1" applyAlignment="1">
      <alignment horizontal="right" vertical="center"/>
    </xf>
    <xf numFmtId="176" fontId="17" fillId="3" borderId="8" xfId="0" applyNumberFormat="1" applyFont="1" applyFill="1" applyBorder="1" applyAlignment="1">
      <alignment horizontal="right" vertical="center"/>
    </xf>
    <xf numFmtId="0" fontId="0" fillId="0" borderId="24" xfId="0" applyBorder="1" applyAlignment="1">
      <alignment vertical="center" shrinkToFit="1"/>
    </xf>
    <xf numFmtId="176" fontId="20" fillId="3" borderId="90" xfId="4" applyNumberFormat="1" applyFont="1" applyFill="1" applyBorder="1" applyAlignment="1">
      <alignment horizontal="right" vertical="center"/>
    </xf>
    <xf numFmtId="176" fontId="79" fillId="2" borderId="42" xfId="4" applyNumberFormat="1" applyFont="1" applyFill="1" applyBorder="1" applyAlignment="1">
      <alignment horizontal="right" vertical="center"/>
    </xf>
    <xf numFmtId="176" fontId="79" fillId="2" borderId="56" xfId="4" applyNumberFormat="1" applyFont="1" applyFill="1" applyBorder="1" applyAlignment="1">
      <alignment horizontal="right" vertical="center"/>
    </xf>
    <xf numFmtId="176" fontId="27" fillId="3" borderId="56" xfId="4" applyNumberFormat="1" applyFont="1" applyFill="1" applyBorder="1" applyAlignment="1">
      <alignment horizontal="right" vertical="center"/>
    </xf>
    <xf numFmtId="3" fontId="20" fillId="0" borderId="42" xfId="4" applyNumberFormat="1" applyFont="1" applyBorder="1" applyAlignment="1">
      <alignment horizontal="right" vertical="center"/>
    </xf>
    <xf numFmtId="176" fontId="20" fillId="5" borderId="56" xfId="4" applyNumberFormat="1" applyFont="1" applyFill="1" applyBorder="1" applyAlignment="1">
      <alignment horizontal="right" vertical="center"/>
    </xf>
    <xf numFmtId="176" fontId="20" fillId="83" borderId="42" xfId="4" applyNumberFormat="1" applyFont="1" applyFill="1" applyBorder="1" applyAlignment="1">
      <alignment horizontal="right" vertical="center"/>
    </xf>
    <xf numFmtId="176" fontId="20" fillId="83" borderId="56" xfId="4" applyNumberFormat="1" applyFont="1" applyFill="1" applyBorder="1" applyAlignment="1">
      <alignment horizontal="right" vertical="center"/>
    </xf>
    <xf numFmtId="176" fontId="20" fillId="3" borderId="56" xfId="4" applyNumberFormat="1" applyFont="1" applyFill="1" applyBorder="1" applyAlignment="1">
      <alignment horizontal="right" vertical="center"/>
    </xf>
    <xf numFmtId="176" fontId="79" fillId="3" borderId="42" xfId="4" applyNumberFormat="1" applyFont="1" applyFill="1" applyBorder="1" applyAlignment="1">
      <alignment horizontal="right" vertical="center"/>
    </xf>
    <xf numFmtId="176" fontId="79" fillId="3" borderId="56" xfId="4" applyNumberFormat="1" applyFont="1" applyFill="1" applyBorder="1" applyAlignment="1">
      <alignment horizontal="right" vertical="center"/>
    </xf>
    <xf numFmtId="176" fontId="20" fillId="2" borderId="56" xfId="4" applyNumberFormat="1" applyFont="1" applyFill="1" applyBorder="1" applyAlignment="1">
      <alignment horizontal="right" vertical="center"/>
    </xf>
    <xf numFmtId="177" fontId="20" fillId="3" borderId="42" xfId="4" applyNumberFormat="1" applyFont="1" applyFill="1" applyBorder="1" applyAlignment="1">
      <alignment horizontal="right" vertical="center"/>
    </xf>
    <xf numFmtId="176" fontId="27" fillId="0" borderId="56" xfId="4" applyNumberFormat="1" applyFont="1" applyBorder="1" applyAlignment="1">
      <alignment horizontal="right" vertical="center"/>
    </xf>
    <xf numFmtId="176" fontId="20" fillId="3" borderId="158" xfId="0" applyNumberFormat="1" applyFont="1" applyFill="1" applyBorder="1" applyAlignment="1">
      <alignment horizontal="right" vertical="center" wrapText="1"/>
    </xf>
    <xf numFmtId="176" fontId="27" fillId="5" borderId="42" xfId="4" applyNumberFormat="1" applyFont="1" applyFill="1" applyBorder="1" applyAlignment="1">
      <alignment horizontal="right" vertical="center"/>
    </xf>
    <xf numFmtId="176" fontId="27" fillId="5" borderId="56" xfId="4" applyNumberFormat="1" applyFont="1" applyFill="1" applyBorder="1" applyAlignment="1">
      <alignment horizontal="right" vertical="center"/>
    </xf>
    <xf numFmtId="176" fontId="27" fillId="2" borderId="42" xfId="4" applyNumberFormat="1" applyFont="1" applyFill="1" applyBorder="1" applyAlignment="1">
      <alignment horizontal="right" vertical="center"/>
    </xf>
    <xf numFmtId="176" fontId="27" fillId="2" borderId="56" xfId="4" applyNumberFormat="1" applyFont="1" applyFill="1" applyBorder="1" applyAlignment="1">
      <alignment horizontal="right" vertical="center"/>
    </xf>
    <xf numFmtId="176" fontId="79" fillId="0" borderId="42" xfId="4" applyNumberFormat="1" applyFont="1" applyBorder="1" applyAlignment="1">
      <alignment horizontal="right" vertical="center"/>
    </xf>
    <xf numFmtId="176" fontId="79" fillId="0" borderId="47" xfId="4" applyNumberFormat="1" applyFont="1" applyBorder="1" applyAlignment="1">
      <alignment horizontal="right" vertical="center"/>
    </xf>
    <xf numFmtId="176" fontId="27" fillId="2" borderId="47" xfId="4" applyNumberFormat="1" applyFont="1" applyFill="1" applyBorder="1" applyAlignment="1">
      <alignment horizontal="right" vertical="center"/>
    </xf>
    <xf numFmtId="176" fontId="20" fillId="5" borderId="79" xfId="4" applyNumberFormat="1" applyFont="1" applyFill="1" applyBorder="1">
      <alignment vertical="center"/>
    </xf>
    <xf numFmtId="176" fontId="20" fillId="0" borderId="85" xfId="4" applyNumberFormat="1" applyFont="1" applyBorder="1">
      <alignment vertical="center"/>
    </xf>
    <xf numFmtId="0" fontId="18" fillId="0" borderId="98" xfId="4" applyFont="1" applyBorder="1" applyAlignment="1">
      <alignment horizontal="right" vertical="center"/>
    </xf>
    <xf numFmtId="188" fontId="20" fillId="0" borderId="56" xfId="0" applyNumberFormat="1" applyFont="1" applyBorder="1" applyAlignment="1">
      <alignment horizontal="right" vertical="center"/>
    </xf>
    <xf numFmtId="176" fontId="79" fillId="0" borderId="44" xfId="0" applyNumberFormat="1" applyFont="1" applyBorder="1" applyAlignment="1">
      <alignment horizontal="right" vertical="center"/>
    </xf>
    <xf numFmtId="176" fontId="79" fillId="0" borderId="53" xfId="0" applyNumberFormat="1" applyFont="1" applyBorder="1" applyAlignment="1">
      <alignment horizontal="right" vertical="center"/>
    </xf>
    <xf numFmtId="176" fontId="79" fillId="0" borderId="47" xfId="0" applyNumberFormat="1" applyFont="1" applyBorder="1" applyAlignment="1">
      <alignment horizontal="right" vertical="center"/>
    </xf>
    <xf numFmtId="176" fontId="20" fillId="0" borderId="56" xfId="0" applyNumberFormat="1" applyFont="1" applyBorder="1" applyAlignment="1">
      <alignment horizontal="right" vertical="center"/>
    </xf>
    <xf numFmtId="176" fontId="79" fillId="0" borderId="42" xfId="0" applyNumberFormat="1" applyFont="1" applyBorder="1" applyAlignment="1">
      <alignment horizontal="right" vertical="center"/>
    </xf>
    <xf numFmtId="0" fontId="1" fillId="0" borderId="8" xfId="0" applyFont="1" applyBorder="1">
      <alignment vertical="center"/>
    </xf>
    <xf numFmtId="176" fontId="20" fillId="4" borderId="42" xfId="4" applyNumberFormat="1" applyFont="1" applyFill="1" applyBorder="1" applyAlignment="1">
      <alignment horizontal="right" vertical="center"/>
    </xf>
    <xf numFmtId="176" fontId="21" fillId="2" borderId="53" xfId="0" applyNumberFormat="1" applyFont="1" applyFill="1" applyBorder="1" applyAlignment="1" applyProtection="1">
      <alignment horizontal="right" vertical="center"/>
      <protection locked="0"/>
    </xf>
    <xf numFmtId="0" fontId="17" fillId="0" borderId="39" xfId="0" applyFont="1" applyBorder="1" applyAlignment="1">
      <alignment horizontal="center" vertical="center" shrinkToFit="1"/>
    </xf>
    <xf numFmtId="189" fontId="20" fillId="0" borderId="44" xfId="0" applyNumberFormat="1" applyFont="1" applyBorder="1" applyAlignment="1">
      <alignment horizontal="right" vertical="center"/>
    </xf>
    <xf numFmtId="0" fontId="20" fillId="0" borderId="42" xfId="0" applyFont="1" applyBorder="1" applyAlignment="1">
      <alignment horizontal="right" vertical="center" justifyLastLine="1"/>
    </xf>
    <xf numFmtId="0" fontId="0" fillId="2" borderId="0" xfId="0" applyFill="1" applyAlignment="1">
      <alignment vertical="center" wrapText="1"/>
    </xf>
    <xf numFmtId="0" fontId="0" fillId="0" borderId="0" xfId="0" applyAlignment="1">
      <alignment vertical="center" wrapText="1"/>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16" xfId="0" applyFill="1" applyBorder="1" applyAlignment="1">
      <alignment horizontal="left" vertical="center" wrapText="1"/>
    </xf>
    <xf numFmtId="0" fontId="0" fillId="2" borderId="9" xfId="0" applyFill="1" applyBorder="1" applyAlignment="1">
      <alignment horizontal="left" vertical="center" wrapText="1"/>
    </xf>
    <xf numFmtId="0" fontId="0" fillId="2" borderId="20" xfId="0" applyFill="1" applyBorder="1" applyAlignment="1">
      <alignment horizontal="left" vertical="center" wrapText="1"/>
    </xf>
    <xf numFmtId="0" fontId="0" fillId="2" borderId="16" xfId="0" applyFill="1" applyBorder="1" applyAlignment="1">
      <alignment vertical="center" wrapText="1"/>
    </xf>
    <xf numFmtId="0" fontId="0" fillId="0" borderId="9" xfId="0" applyBorder="1" applyAlignment="1">
      <alignment vertical="center" wrapText="1"/>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3" fillId="2" borderId="0" xfId="0" applyFont="1" applyFill="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left" vertical="center"/>
    </xf>
    <xf numFmtId="0" fontId="0" fillId="2" borderId="7" xfId="0" applyFill="1" applyBorder="1" applyAlignment="1">
      <alignment horizontal="left" vertical="center"/>
    </xf>
    <xf numFmtId="0" fontId="0" fillId="2" borderId="12" xfId="0" applyFill="1" applyBorder="1" applyAlignment="1">
      <alignment horizontal="left" vertical="center"/>
    </xf>
    <xf numFmtId="0" fontId="0" fillId="0" borderId="6" xfId="0" applyBorder="1" applyAlignment="1">
      <alignment vertical="center" wrapText="1"/>
    </xf>
    <xf numFmtId="0" fontId="0" fillId="0" borderId="9" xfId="0" applyBorder="1">
      <alignment vertical="center"/>
    </xf>
    <xf numFmtId="0" fontId="0" fillId="0" borderId="20" xfId="0" applyBorder="1">
      <alignment vertical="center"/>
    </xf>
    <xf numFmtId="0" fontId="0" fillId="2" borderId="4" xfId="0" applyFill="1" applyBorder="1" applyAlignment="1">
      <alignment horizontal="center" vertical="center" wrapText="1"/>
    </xf>
    <xf numFmtId="0" fontId="0" fillId="2" borderId="12" xfId="0" applyFill="1" applyBorder="1" applyAlignment="1">
      <alignment horizontal="center" vertical="center" wrapText="1"/>
    </xf>
    <xf numFmtId="0" fontId="9" fillId="0" borderId="0" xfId="0" applyFont="1" applyAlignment="1">
      <alignment horizontal="center" vertical="center" wrapText="1"/>
    </xf>
    <xf numFmtId="0" fontId="0" fillId="2" borderId="23" xfId="0" applyFill="1" applyBorder="1" applyAlignment="1">
      <alignment horizontal="left" vertical="center"/>
    </xf>
    <xf numFmtId="0" fontId="0" fillId="2" borderId="25" xfId="0" applyFill="1" applyBorder="1" applyAlignment="1">
      <alignment horizontal="left" vertical="center"/>
    </xf>
    <xf numFmtId="0" fontId="0" fillId="0" borderId="4" xfId="0" applyBorder="1" applyAlignment="1">
      <alignment vertical="center" wrapText="1"/>
    </xf>
    <xf numFmtId="0" fontId="0" fillId="0" borderId="7" xfId="0" applyBorder="1">
      <alignment vertical="center"/>
    </xf>
    <xf numFmtId="0" fontId="0" fillId="0" borderId="12" xfId="0" applyBorder="1">
      <alignment vertical="center"/>
    </xf>
    <xf numFmtId="0" fontId="0" fillId="2" borderId="17" xfId="0" applyFill="1" applyBorder="1">
      <alignment vertical="center"/>
    </xf>
    <xf numFmtId="0" fontId="0" fillId="0" borderId="19" xfId="0" applyBorder="1">
      <alignment vertical="center"/>
    </xf>
    <xf numFmtId="176" fontId="14" fillId="0" borderId="0" xfId="0" applyNumberFormat="1" applyFont="1">
      <alignment vertical="center"/>
    </xf>
    <xf numFmtId="0" fontId="15" fillId="0" borderId="0" xfId="0" applyFont="1">
      <alignment vertical="center"/>
    </xf>
    <xf numFmtId="0" fontId="17" fillId="0" borderId="5" xfId="0" applyFont="1" applyBorder="1" applyAlignment="1">
      <alignment horizontal="center" vertical="center" wrapText="1"/>
    </xf>
    <xf numFmtId="0" fontId="17" fillId="0" borderId="42" xfId="0" applyFont="1" applyBorder="1" applyAlignment="1">
      <alignment horizontal="center" vertical="center"/>
    </xf>
    <xf numFmtId="0" fontId="17" fillId="0" borderId="57" xfId="0" applyFont="1" applyBorder="1" applyAlignment="1">
      <alignment horizontal="center" vertical="center"/>
    </xf>
    <xf numFmtId="0" fontId="17" fillId="0" borderId="35" xfId="0" applyFont="1" applyBorder="1" applyAlignment="1">
      <alignment horizontal="center" vertical="center"/>
    </xf>
    <xf numFmtId="0" fontId="17" fillId="0" borderId="33"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4" xfId="0" applyFont="1" applyBorder="1" applyAlignment="1">
      <alignment horizontal="center" vertical="center"/>
    </xf>
    <xf numFmtId="0" fontId="17" fillId="0" borderId="38" xfId="0" applyFont="1" applyBorder="1" applyAlignment="1">
      <alignment horizontal="center" vertical="center" wrapText="1"/>
    </xf>
    <xf numFmtId="0" fontId="0" fillId="0" borderId="53" xfId="0" applyBorder="1" applyAlignment="1">
      <alignment vertical="center" wrapText="1"/>
    </xf>
    <xf numFmtId="0" fontId="0" fillId="0" borderId="58" xfId="0" applyBorder="1" applyAlignment="1">
      <alignment vertical="center" wrapText="1"/>
    </xf>
    <xf numFmtId="0" fontId="15" fillId="0" borderId="43" xfId="0" applyFont="1" applyBorder="1" applyAlignment="1">
      <alignment horizontal="center" vertical="center" shrinkToFit="1"/>
    </xf>
    <xf numFmtId="0" fontId="0" fillId="0" borderId="58" xfId="0" applyBorder="1">
      <alignment vertical="center"/>
    </xf>
    <xf numFmtId="0" fontId="23" fillId="0" borderId="0" xfId="0" applyFont="1" applyAlignment="1">
      <alignment horizontal="left" vertical="center" wrapText="1"/>
    </xf>
    <xf numFmtId="0" fontId="17" fillId="0" borderId="40" xfId="0" applyFont="1" applyBorder="1" applyAlignment="1">
      <alignment horizontal="center" vertical="center" wrapText="1"/>
    </xf>
    <xf numFmtId="0" fontId="0" fillId="0" borderId="42" xfId="0" applyBorder="1" applyAlignment="1">
      <alignment horizontal="center" vertical="center"/>
    </xf>
    <xf numFmtId="0" fontId="0" fillId="0" borderId="57" xfId="0" applyBorder="1" applyAlignment="1">
      <alignment horizontal="center" vertical="center"/>
    </xf>
    <xf numFmtId="0" fontId="15" fillId="0" borderId="35" xfId="0" applyFont="1"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15" fillId="0" borderId="47" xfId="0" applyFont="1" applyBorder="1" applyAlignment="1">
      <alignment horizontal="center" vertical="center" wrapText="1" shrinkToFit="1"/>
    </xf>
    <xf numFmtId="0" fontId="15" fillId="0" borderId="60" xfId="0" applyFont="1" applyBorder="1" applyAlignment="1">
      <alignment horizontal="center" vertical="center" wrapText="1" shrinkToFit="1"/>
    </xf>
    <xf numFmtId="0" fontId="18" fillId="0" borderId="43" xfId="0" applyFont="1" applyBorder="1" applyAlignment="1">
      <alignment horizontal="distributed" vertical="center" wrapText="1"/>
    </xf>
    <xf numFmtId="0" fontId="19" fillId="0" borderId="58" xfId="0" applyFont="1" applyBorder="1" applyAlignment="1">
      <alignment horizontal="distributed" vertical="center" wrapText="1"/>
    </xf>
    <xf numFmtId="0" fontId="15" fillId="0" borderId="55" xfId="0" applyFont="1" applyBorder="1" applyAlignment="1">
      <alignment horizontal="center" vertical="center" wrapText="1"/>
    </xf>
    <xf numFmtId="0" fontId="0" fillId="0" borderId="57" xfId="0" applyBorder="1" applyAlignment="1">
      <alignment horizontal="center" vertical="center" wrapText="1"/>
    </xf>
    <xf numFmtId="0" fontId="15" fillId="0" borderId="53" xfId="0" applyFont="1" applyBorder="1" applyAlignment="1">
      <alignment horizontal="center" vertical="center" wrapText="1"/>
    </xf>
    <xf numFmtId="0" fontId="15" fillId="0" borderId="5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7" xfId="0" applyFont="1" applyBorder="1" applyAlignment="1">
      <alignment horizontal="center" vertical="center"/>
    </xf>
    <xf numFmtId="0" fontId="17" fillId="0" borderId="40" xfId="0" applyFont="1" applyBorder="1" applyAlignment="1">
      <alignment horizontal="distributed" vertical="center" wrapText="1" justifyLastLine="1" shrinkToFit="1"/>
    </xf>
    <xf numFmtId="0" fontId="0" fillId="0" borderId="42" xfId="0" applyBorder="1" applyAlignment="1">
      <alignment horizontal="distributed" vertical="center" justifyLastLine="1"/>
    </xf>
    <xf numFmtId="0" fontId="0" fillId="0" borderId="57" xfId="0" applyBorder="1" applyAlignment="1">
      <alignment horizontal="distributed" vertical="center" justifyLastLine="1"/>
    </xf>
    <xf numFmtId="0" fontId="23" fillId="0" borderId="0" xfId="0" applyFont="1" applyAlignment="1">
      <alignment horizontal="left" vertical="center"/>
    </xf>
    <xf numFmtId="0" fontId="23" fillId="0" borderId="0" xfId="0" applyFont="1" applyAlignment="1">
      <alignment horizontal="left" vertical="top" wrapText="1"/>
    </xf>
    <xf numFmtId="0" fontId="15"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9" fillId="0" borderId="54" xfId="0" applyFont="1" applyBorder="1" applyAlignment="1">
      <alignment horizontal="center" vertical="center" wrapText="1"/>
    </xf>
    <xf numFmtId="0" fontId="17" fillId="0" borderId="37" xfId="0" applyFont="1" applyBorder="1" applyAlignment="1">
      <alignment horizontal="center" vertical="center" wrapText="1"/>
    </xf>
    <xf numFmtId="0" fontId="0" fillId="0" borderId="36" xfId="0" applyBorder="1" applyAlignment="1">
      <alignment horizontal="center" vertical="center" wrapText="1"/>
    </xf>
    <xf numFmtId="0" fontId="15" fillId="0" borderId="56" xfId="0" applyFont="1" applyBorder="1" applyAlignment="1">
      <alignment horizontal="center" vertical="center" wrapText="1"/>
    </xf>
    <xf numFmtId="0" fontId="15" fillId="0" borderId="62" xfId="0" applyFont="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15" fillId="0" borderId="38" xfId="0" applyFont="1" applyBorder="1" applyAlignment="1">
      <alignment horizontal="center" vertical="center"/>
    </xf>
    <xf numFmtId="0" fontId="15" fillId="0" borderId="53" xfId="0" applyFont="1" applyBorder="1" applyAlignment="1">
      <alignment horizontal="center" vertical="center"/>
    </xf>
    <xf numFmtId="0" fontId="15" fillId="0" borderId="58" xfId="0" applyFont="1" applyBorder="1" applyAlignment="1">
      <alignment horizontal="center" vertical="center"/>
    </xf>
    <xf numFmtId="0" fontId="17" fillId="0" borderId="89"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3" xfId="0" applyFont="1" applyBorder="1" applyAlignment="1">
      <alignment horizontal="distributed" vertical="center" wrapText="1"/>
    </xf>
    <xf numFmtId="0" fontId="17" fillId="0" borderId="53" xfId="0" applyFont="1" applyBorder="1" applyAlignment="1">
      <alignment horizontal="distributed" vertical="center"/>
    </xf>
    <xf numFmtId="0" fontId="17" fillId="0" borderId="52" xfId="0" applyFont="1" applyBorder="1" applyAlignment="1">
      <alignment horizontal="distributed" vertical="center" wrapText="1"/>
    </xf>
    <xf numFmtId="0" fontId="0" fillId="0" borderId="91" xfId="0" applyBorder="1">
      <alignment vertical="center"/>
    </xf>
    <xf numFmtId="0" fontId="17" fillId="0" borderId="52" xfId="0" applyFont="1" applyBorder="1" applyAlignment="1">
      <alignment horizontal="center" vertical="center"/>
    </xf>
    <xf numFmtId="0" fontId="17" fillId="0" borderId="44" xfId="0" applyFont="1" applyBorder="1" applyAlignment="1">
      <alignment horizontal="center" vertical="center"/>
    </xf>
    <xf numFmtId="0" fontId="18" fillId="2" borderId="92" xfId="0" applyFont="1" applyFill="1" applyBorder="1" applyAlignment="1">
      <alignment horizontal="distributed" vertical="center" wrapText="1"/>
    </xf>
    <xf numFmtId="0" fontId="18" fillId="2" borderId="47" xfId="0" applyFont="1" applyFill="1" applyBorder="1" applyAlignment="1">
      <alignment horizontal="distributed" vertical="center"/>
    </xf>
    <xf numFmtId="0" fontId="23" fillId="0" borderId="0" xfId="0" applyFont="1" applyAlignment="1">
      <alignment horizontal="left" vertical="center" wrapText="1" shrinkToFit="1"/>
    </xf>
    <xf numFmtId="0" fontId="15" fillId="0" borderId="89" xfId="0" applyFont="1" applyBorder="1" applyAlignment="1">
      <alignment horizontal="left" vertical="center" shrinkToFit="1"/>
    </xf>
    <xf numFmtId="0" fontId="15" fillId="0" borderId="32" xfId="0" applyFont="1" applyBorder="1" applyAlignment="1">
      <alignment horizontal="left" vertical="center" shrinkToFit="1"/>
    </xf>
    <xf numFmtId="0" fontId="15" fillId="0" borderId="32" xfId="0" applyFont="1" applyBorder="1" applyAlignment="1">
      <alignment horizontal="left" vertical="center"/>
    </xf>
    <xf numFmtId="0" fontId="15" fillId="0" borderId="73" xfId="0" applyFont="1" applyBorder="1" applyAlignment="1">
      <alignment horizontal="left" vertical="center"/>
    </xf>
    <xf numFmtId="0" fontId="15" fillId="0" borderId="39" xfId="0" applyFont="1" applyBorder="1" applyAlignment="1">
      <alignment horizontal="center" vertical="center" wrapText="1"/>
    </xf>
    <xf numFmtId="0" fontId="0" fillId="0" borderId="47" xfId="0" applyBorder="1" applyAlignment="1">
      <alignment horizontal="center" vertical="center" wrapText="1"/>
    </xf>
    <xf numFmtId="0" fontId="0" fillId="0" borderId="60" xfId="0" applyBorder="1" applyAlignment="1">
      <alignment horizontal="center" vertical="center" wrapText="1"/>
    </xf>
    <xf numFmtId="0" fontId="15" fillId="0" borderId="5" xfId="0" applyFont="1" applyBorder="1" applyAlignment="1">
      <alignment horizontal="left" vertical="center" shrinkToFit="1"/>
    </xf>
    <xf numFmtId="0" fontId="15" fillId="0" borderId="73" xfId="0" applyFont="1" applyBorder="1" applyAlignment="1">
      <alignment horizontal="left" vertical="center" shrinkToFit="1"/>
    </xf>
    <xf numFmtId="0" fontId="15" fillId="0" borderId="89" xfId="0" applyFont="1" applyBorder="1" applyAlignment="1">
      <alignment horizontal="left" vertical="center"/>
    </xf>
    <xf numFmtId="0" fontId="15" fillId="0" borderId="92" xfId="0" applyFont="1" applyBorder="1" applyAlignment="1">
      <alignment horizontal="center" vertical="center"/>
    </xf>
    <xf numFmtId="0" fontId="15" fillId="0" borderId="60" xfId="0" applyFont="1" applyBorder="1" applyAlignment="1">
      <alignment horizontal="center" vertical="center"/>
    </xf>
    <xf numFmtId="0" fontId="15" fillId="0" borderId="43" xfId="0" applyFont="1" applyBorder="1" applyAlignment="1">
      <alignment horizontal="center" vertical="center"/>
    </xf>
    <xf numFmtId="0" fontId="0" fillId="0" borderId="58" xfId="0" applyBorder="1" applyAlignment="1">
      <alignment horizontal="center" vertical="center"/>
    </xf>
    <xf numFmtId="0" fontId="15" fillId="0" borderId="89" xfId="0" applyFont="1" applyBorder="1" applyAlignment="1">
      <alignment horizontal="left" vertical="center" wrapText="1"/>
    </xf>
    <xf numFmtId="0" fontId="15" fillId="0" borderId="90" xfId="0" applyFont="1" applyBorder="1" applyAlignment="1">
      <alignment horizontal="left" vertical="center" wrapText="1"/>
    </xf>
    <xf numFmtId="0" fontId="15" fillId="2" borderId="40" xfId="0" applyFont="1" applyFill="1" applyBorder="1" applyAlignment="1">
      <alignment horizontal="center" vertical="center" wrapText="1"/>
    </xf>
    <xf numFmtId="0" fontId="15" fillId="2" borderId="42" xfId="0" applyFont="1" applyFill="1" applyBorder="1" applyAlignment="1">
      <alignment horizontal="center" vertical="center"/>
    </xf>
    <xf numFmtId="0" fontId="15" fillId="2" borderId="57" xfId="0" applyFont="1" applyFill="1" applyBorder="1" applyAlignment="1">
      <alignment horizontal="center" vertical="center"/>
    </xf>
    <xf numFmtId="0" fontId="0" fillId="0" borderId="53" xfId="0" applyBorder="1" applyAlignment="1">
      <alignment horizontal="center" vertical="center" wrapText="1"/>
    </xf>
    <xf numFmtId="0" fontId="0" fillId="0" borderId="58" xfId="0" applyBorder="1" applyAlignment="1">
      <alignment horizontal="center" vertical="center" wrapText="1"/>
    </xf>
    <xf numFmtId="0" fontId="18" fillId="0" borderId="3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8"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60" xfId="0" applyFont="1" applyBorder="1" applyAlignment="1">
      <alignment horizontal="center" vertical="center" wrapText="1"/>
    </xf>
    <xf numFmtId="0" fontId="17" fillId="0" borderId="5" xfId="0" applyFont="1" applyBorder="1" applyAlignment="1">
      <alignment horizontal="center" vertical="center"/>
    </xf>
    <xf numFmtId="0" fontId="17" fillId="0" borderId="32" xfId="0" applyFont="1" applyBorder="1" applyAlignment="1">
      <alignment horizontal="center" vertical="center"/>
    </xf>
    <xf numFmtId="0" fontId="17" fillId="0" borderId="59" xfId="0" applyFont="1" applyBorder="1" applyAlignment="1">
      <alignment horizontal="center" vertical="center"/>
    </xf>
    <xf numFmtId="0" fontId="17" fillId="0" borderId="54" xfId="0" applyFont="1" applyBorder="1" applyAlignment="1">
      <alignment horizontal="center" vertical="center"/>
    </xf>
    <xf numFmtId="0" fontId="17" fillId="0" borderId="95" xfId="0" applyFont="1" applyBorder="1" applyAlignment="1">
      <alignment horizontal="center" vertical="center"/>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96" xfId="0" applyFont="1" applyBorder="1" applyAlignment="1">
      <alignment horizontal="center" vertical="center" wrapText="1"/>
    </xf>
    <xf numFmtId="0" fontId="15" fillId="0" borderId="52" xfId="0" applyFont="1" applyBorder="1" applyAlignment="1">
      <alignment horizontal="center" vertical="center"/>
    </xf>
    <xf numFmtId="0" fontId="0" fillId="0" borderId="61" xfId="0" applyBorder="1" applyAlignment="1">
      <alignment horizontal="center" vertical="center"/>
    </xf>
    <xf numFmtId="0" fontId="18" fillId="0" borderId="90"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62" xfId="0" applyFont="1" applyBorder="1" applyAlignment="1">
      <alignment horizontal="center" vertical="center" wrapText="1"/>
    </xf>
    <xf numFmtId="184" fontId="17" fillId="0" borderId="89" xfId="0" applyNumberFormat="1" applyFont="1" applyBorder="1" applyAlignment="1">
      <alignment horizontal="center" vertical="center" shrinkToFit="1"/>
    </xf>
    <xf numFmtId="0" fontId="0" fillId="0" borderId="73" xfId="0" applyBorder="1" applyAlignment="1">
      <alignment vertical="center" shrinkToFit="1"/>
    </xf>
    <xf numFmtId="185" fontId="17" fillId="0" borderId="73" xfId="0" applyNumberFormat="1" applyFont="1" applyBorder="1" applyAlignment="1">
      <alignment horizontal="center" vertical="center" wrapText="1"/>
    </xf>
    <xf numFmtId="0" fontId="0" fillId="0" borderId="51" xfId="0" applyBorder="1" applyAlignment="1">
      <alignment horizontal="center" vertical="center" wrapText="1"/>
    </xf>
    <xf numFmtId="0" fontId="0" fillId="0" borderId="46" xfId="0" applyBorder="1" applyAlignment="1">
      <alignment horizontal="center"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43" xfId="0" applyFont="1" applyBorder="1" applyAlignment="1">
      <alignment horizontal="center" vertical="center"/>
    </xf>
    <xf numFmtId="0" fontId="23" fillId="0" borderId="0" xfId="0" applyFont="1" applyAlignment="1">
      <alignment vertical="top" wrapText="1"/>
    </xf>
    <xf numFmtId="0" fontId="22" fillId="0" borderId="0" xfId="0" applyFont="1" applyAlignment="1">
      <alignment vertical="top" wrapText="1"/>
    </xf>
    <xf numFmtId="0" fontId="22" fillId="0" borderId="0" xfId="0" applyFont="1" applyAlignment="1">
      <alignment horizontal="left" vertical="center" wrapText="1"/>
    </xf>
    <xf numFmtId="0" fontId="22" fillId="0" borderId="0" xfId="0" applyFont="1" applyAlignment="1">
      <alignment vertical="center" wrapText="1"/>
    </xf>
    <xf numFmtId="0" fontId="23" fillId="0" borderId="89" xfId="0" applyFont="1" applyBorder="1" applyAlignment="1">
      <alignment horizontal="center" vertical="center" wrapText="1" shrinkToFit="1"/>
    </xf>
    <xf numFmtId="0" fontId="23" fillId="0" borderId="73" xfId="0" applyFont="1" applyBorder="1" applyAlignment="1">
      <alignment horizontal="center" vertical="center" wrapText="1" shrinkToFit="1"/>
    </xf>
    <xf numFmtId="0" fontId="23" fillId="0" borderId="44" xfId="0" applyFont="1" applyBorder="1" applyAlignment="1">
      <alignment horizontal="center" vertical="center" wrapText="1" shrinkToFit="1"/>
    </xf>
    <xf numFmtId="0" fontId="23" fillId="0" borderId="46" xfId="0" applyFont="1" applyBorder="1" applyAlignment="1">
      <alignment horizontal="center" vertical="center" wrapText="1" shrinkToFit="1"/>
    </xf>
    <xf numFmtId="0" fontId="17" fillId="0" borderId="43" xfId="0" applyFont="1" applyBorder="1" applyAlignment="1">
      <alignment horizontal="center" vertical="center" wrapText="1"/>
    </xf>
    <xf numFmtId="0" fontId="17" fillId="0" borderId="58" xfId="0" applyFont="1" applyBorder="1" applyAlignment="1">
      <alignment horizontal="center" vertical="center" wrapText="1"/>
    </xf>
    <xf numFmtId="0" fontId="15" fillId="2" borderId="89" xfId="0" applyFont="1" applyFill="1" applyBorder="1" applyAlignment="1">
      <alignment horizontal="center" vertical="center"/>
    </xf>
    <xf numFmtId="0" fontId="15" fillId="2" borderId="73" xfId="0" applyFont="1" applyFill="1" applyBorder="1" applyAlignment="1">
      <alignment horizontal="center" vertical="center"/>
    </xf>
    <xf numFmtId="0" fontId="15" fillId="0" borderId="39" xfId="0" applyFont="1" applyBorder="1" applyAlignment="1">
      <alignment horizontal="center" vertical="center"/>
    </xf>
    <xf numFmtId="0" fontId="0" fillId="0" borderId="47" xfId="0" applyBorder="1" applyAlignment="1">
      <alignment horizontal="center" vertical="center"/>
    </xf>
    <xf numFmtId="0" fontId="0" fillId="0" borderId="60" xfId="0" applyBorder="1" applyAlignment="1">
      <alignment horizontal="center" vertical="center"/>
    </xf>
    <xf numFmtId="0" fontId="15" fillId="0" borderId="40" xfId="0" applyFont="1" applyBorder="1" applyAlignment="1">
      <alignment horizontal="center" vertical="center" wrapText="1"/>
    </xf>
    <xf numFmtId="0" fontId="0" fillId="0" borderId="42" xfId="0" applyBorder="1" applyAlignment="1">
      <alignment horizontal="center" vertical="center" wrapText="1"/>
    </xf>
    <xf numFmtId="0" fontId="0" fillId="0" borderId="53" xfId="0" applyBorder="1" applyAlignment="1">
      <alignment horizontal="center" vertical="center"/>
    </xf>
    <xf numFmtId="0" fontId="15" fillId="2" borderId="43" xfId="0" applyFont="1" applyFill="1" applyBorder="1" applyAlignment="1">
      <alignment horizontal="center" vertical="center"/>
    </xf>
    <xf numFmtId="0" fontId="15" fillId="2" borderId="58" xfId="0" applyFont="1" applyFill="1" applyBorder="1" applyAlignment="1">
      <alignment horizontal="center" vertical="center"/>
    </xf>
    <xf numFmtId="0" fontId="30" fillId="0" borderId="0" xfId="0" applyFont="1" applyAlignment="1">
      <alignment horizontal="center" vertical="center"/>
    </xf>
    <xf numFmtId="0" fontId="23" fillId="2" borderId="42"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15" fillId="0" borderId="43" xfId="0" applyFont="1" applyBorder="1" applyAlignment="1">
      <alignment horizontal="center" vertical="center" wrapText="1"/>
    </xf>
    <xf numFmtId="0" fontId="23" fillId="2" borderId="53" xfId="0" applyFont="1" applyFill="1" applyBorder="1" applyAlignment="1">
      <alignment horizontal="center" vertical="center" wrapText="1"/>
    </xf>
    <xf numFmtId="0" fontId="23" fillId="2" borderId="58" xfId="0" applyFont="1" applyFill="1" applyBorder="1" applyAlignment="1">
      <alignment horizontal="center" vertical="center" wrapText="1"/>
    </xf>
    <xf numFmtId="0" fontId="15" fillId="0" borderId="92" xfId="0" applyFont="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vertical="top" wrapText="1" shrinkToFit="1"/>
    </xf>
    <xf numFmtId="0" fontId="15" fillId="0" borderId="0" xfId="0" applyFont="1" applyAlignment="1">
      <alignment vertical="top" wrapText="1" shrinkToFit="1"/>
    </xf>
    <xf numFmtId="0" fontId="0" fillId="0" borderId="0" xfId="0" applyAlignment="1">
      <alignment vertical="top" wrapText="1"/>
    </xf>
    <xf numFmtId="0" fontId="0" fillId="0" borderId="8" xfId="0" applyBorder="1" applyAlignment="1">
      <alignment horizontal="center" vertical="center"/>
    </xf>
    <xf numFmtId="0" fontId="18" fillId="0" borderId="89" xfId="0" applyFont="1" applyBorder="1" applyAlignment="1">
      <alignment horizontal="center" vertical="center" wrapText="1"/>
    </xf>
    <xf numFmtId="0" fontId="19" fillId="0" borderId="44" xfId="0" applyFont="1" applyBorder="1" applyAlignment="1">
      <alignment horizontal="center" vertical="center"/>
    </xf>
    <xf numFmtId="0" fontId="0" fillId="0" borderId="33" xfId="0" applyBorder="1" applyAlignment="1">
      <alignment horizontal="center" vertical="center" shrinkToFit="1"/>
    </xf>
    <xf numFmtId="0" fontId="15" fillId="0" borderId="52" xfId="0" applyFont="1" applyBorder="1" applyAlignment="1">
      <alignment horizontal="center" vertical="center" wrapText="1"/>
    </xf>
    <xf numFmtId="0" fontId="0" fillId="0" borderId="44" xfId="0" applyBorder="1" applyAlignment="1">
      <alignment horizontal="center" vertical="center"/>
    </xf>
    <xf numFmtId="0" fontId="17" fillId="0" borderId="5" xfId="4" applyFont="1" applyBorder="1" applyAlignment="1">
      <alignment horizontal="center" vertical="center"/>
    </xf>
    <xf numFmtId="0" fontId="17" fillId="0" borderId="32" xfId="4" applyFont="1" applyBorder="1" applyAlignment="1">
      <alignment horizontal="center" vertical="center"/>
    </xf>
    <xf numFmtId="0" fontId="17" fillId="0" borderId="73" xfId="4" applyFont="1" applyBorder="1" applyAlignment="1">
      <alignment horizontal="center" vertical="center"/>
    </xf>
    <xf numFmtId="0" fontId="17" fillId="0" borderId="110" xfId="4" applyFont="1" applyBorder="1" applyAlignment="1">
      <alignment horizontal="center" vertical="center" shrinkToFit="1"/>
    </xf>
    <xf numFmtId="0" fontId="17" fillId="0" borderId="37" xfId="4" applyFont="1" applyBorder="1" applyAlignment="1">
      <alignment horizontal="center" vertical="center" shrinkToFit="1"/>
    </xf>
    <xf numFmtId="0" fontId="17" fillId="0" borderId="33" xfId="4" applyFont="1" applyBorder="1" applyAlignment="1">
      <alignment horizontal="center" vertical="center" shrinkToFit="1"/>
    </xf>
    <xf numFmtId="0" fontId="17" fillId="0" borderId="36" xfId="4" applyFont="1" applyBorder="1" applyAlignment="1">
      <alignment horizontal="center" vertical="center" shrinkToFit="1"/>
    </xf>
    <xf numFmtId="0" fontId="15" fillId="0" borderId="37" xfId="4" applyFont="1" applyBorder="1" applyAlignment="1">
      <alignment horizontal="center" vertical="center" shrinkToFit="1"/>
    </xf>
    <xf numFmtId="0" fontId="15" fillId="0" borderId="33" xfId="4" applyFont="1" applyBorder="1" applyAlignment="1">
      <alignment horizontal="center" vertical="center" shrinkToFit="1"/>
    </xf>
    <xf numFmtId="0" fontId="15" fillId="0" borderId="36" xfId="4" applyFont="1" applyBorder="1" applyAlignment="1">
      <alignment horizontal="center" vertical="center" shrinkToFit="1"/>
    </xf>
    <xf numFmtId="0" fontId="17" fillId="0" borderId="92" xfId="4" applyFont="1" applyBorder="1" applyAlignment="1">
      <alignment horizontal="center" vertical="center"/>
    </xf>
    <xf numFmtId="0" fontId="17" fillId="0" borderId="48" xfId="4" applyFont="1" applyBorder="1" applyAlignment="1">
      <alignment horizontal="center" vertical="center"/>
    </xf>
    <xf numFmtId="0" fontId="15" fillId="0" borderId="55" xfId="4" applyFont="1" applyBorder="1" applyAlignment="1">
      <alignment horizontal="center" vertical="center" wrapText="1"/>
    </xf>
    <xf numFmtId="0" fontId="26" fillId="0" borderId="57" xfId="4" applyFont="1" applyBorder="1" applyAlignment="1">
      <alignment horizontal="center" vertical="center"/>
    </xf>
    <xf numFmtId="0" fontId="15" fillId="0" borderId="112" xfId="4" applyFont="1" applyBorder="1" applyAlignment="1">
      <alignment horizontal="center" vertical="center" wrapText="1"/>
    </xf>
    <xf numFmtId="0" fontId="26" fillId="0" borderId="62" xfId="4" applyFont="1" applyBorder="1" applyAlignment="1">
      <alignment horizontal="center" vertical="center"/>
    </xf>
    <xf numFmtId="0" fontId="17" fillId="0" borderId="52" xfId="4" applyFont="1" applyBorder="1" applyAlignment="1">
      <alignment horizontal="center" vertical="center"/>
    </xf>
    <xf numFmtId="0" fontId="17" fillId="0" borderId="91" xfId="4" applyFont="1" applyBorder="1" applyAlignment="1">
      <alignment horizontal="center" vertical="center"/>
    </xf>
    <xf numFmtId="0" fontId="15" fillId="0" borderId="37" xfId="4" applyFont="1" applyBorder="1" applyAlignment="1">
      <alignment horizontal="center" vertical="center"/>
    </xf>
    <xf numFmtId="0" fontId="15" fillId="0" borderId="36" xfId="4" applyFont="1" applyBorder="1" applyAlignment="1">
      <alignment horizontal="center" vertical="center"/>
    </xf>
    <xf numFmtId="0" fontId="11" fillId="0" borderId="0" xfId="4" applyFont="1" applyAlignment="1">
      <alignment horizontal="center" vertical="center"/>
    </xf>
    <xf numFmtId="0" fontId="11" fillId="0" borderId="94" xfId="4" applyFont="1" applyBorder="1" applyAlignment="1">
      <alignment horizontal="center" vertical="center"/>
    </xf>
    <xf numFmtId="0" fontId="15" fillId="0" borderId="48" xfId="4" applyFont="1" applyBorder="1" applyAlignment="1">
      <alignment horizontal="center" vertical="center"/>
    </xf>
    <xf numFmtId="0" fontId="15" fillId="0" borderId="107" xfId="4" applyFont="1" applyBorder="1" applyAlignment="1">
      <alignment horizontal="center" vertical="center"/>
    </xf>
    <xf numFmtId="0" fontId="15" fillId="0" borderId="52" xfId="4" applyFont="1" applyBorder="1" applyAlignment="1">
      <alignment horizontal="center" vertical="center"/>
    </xf>
    <xf numFmtId="0" fontId="15" fillId="0" borderId="112" xfId="4" applyFont="1" applyBorder="1" applyAlignment="1">
      <alignment horizontal="center" vertical="center"/>
    </xf>
    <xf numFmtId="0" fontId="15" fillId="0" borderId="91" xfId="4" applyFont="1" applyBorder="1" applyAlignment="1">
      <alignment horizontal="center" vertical="center"/>
    </xf>
    <xf numFmtId="0" fontId="23" fillId="0" borderId="0" xfId="4" applyFont="1" applyAlignment="1">
      <alignment horizontal="left" vertical="top" wrapText="1"/>
    </xf>
    <xf numFmtId="0" fontId="23" fillId="0" borderId="88" xfId="6" applyFont="1" applyBorder="1" applyAlignment="1">
      <alignment horizontal="left" vertical="center" wrapText="1"/>
    </xf>
    <xf numFmtId="0" fontId="23" fillId="0" borderId="0" xfId="6" applyFont="1" applyAlignment="1">
      <alignment horizontal="left" vertical="center" wrapText="1"/>
    </xf>
    <xf numFmtId="0" fontId="26" fillId="0" borderId="57" xfId="4" applyFont="1" applyBorder="1" applyAlignment="1">
      <alignment horizontal="center" vertical="center" wrapText="1"/>
    </xf>
    <xf numFmtId="0" fontId="15" fillId="0" borderId="92" xfId="4" applyFont="1" applyBorder="1" applyAlignment="1">
      <alignment horizontal="center" vertical="center" wrapText="1"/>
    </xf>
    <xf numFmtId="0" fontId="26" fillId="0" borderId="60" xfId="4" applyFont="1" applyBorder="1" applyAlignment="1">
      <alignment horizontal="center" vertical="center" wrapText="1"/>
    </xf>
    <xf numFmtId="0" fontId="17" fillId="0" borderId="111" xfId="4" applyFont="1" applyBorder="1" applyAlignment="1">
      <alignment horizontal="center" vertical="center" shrinkToFit="1"/>
    </xf>
    <xf numFmtId="0" fontId="17" fillId="0" borderId="45" xfId="4" applyFont="1" applyBorder="1" applyAlignment="1">
      <alignment horizontal="center" vertical="center" shrinkToFit="1"/>
    </xf>
    <xf numFmtId="0" fontId="17" fillId="0" borderId="46" xfId="4" applyFont="1" applyBorder="1" applyAlignment="1">
      <alignment horizontal="center" vertical="center" shrinkToFit="1"/>
    </xf>
    <xf numFmtId="0" fontId="3" fillId="0" borderId="0" xfId="0" applyFont="1">
      <alignment vertical="center"/>
    </xf>
    <xf numFmtId="0" fontId="29" fillId="0" borderId="0" xfId="0" applyFont="1">
      <alignment vertical="center"/>
    </xf>
    <xf numFmtId="0" fontId="17" fillId="0" borderId="73" xfId="0" applyFont="1" applyBorder="1" applyAlignment="1">
      <alignment horizontal="center" vertical="center" shrinkToFit="1"/>
    </xf>
    <xf numFmtId="0" fontId="0" fillId="0" borderId="51" xfId="0" applyBorder="1" applyAlignment="1">
      <alignment horizontal="center" vertical="center" shrinkToFit="1"/>
    </xf>
    <xf numFmtId="0" fontId="0" fillId="0" borderId="46" xfId="0" applyBorder="1" applyAlignment="1">
      <alignment horizontal="center" vertical="center" shrinkToFit="1"/>
    </xf>
    <xf numFmtId="0" fontId="17" fillId="0" borderId="38" xfId="0" applyFont="1" applyBorder="1" applyAlignment="1">
      <alignment horizontal="center" vertical="center" shrinkToFit="1"/>
    </xf>
    <xf numFmtId="0" fontId="17" fillId="0" borderId="53" xfId="0" applyFont="1" applyBorder="1" applyAlignment="1">
      <alignment horizontal="center" vertical="center" shrinkToFit="1"/>
    </xf>
    <xf numFmtId="0" fontId="0" fillId="0" borderId="58" xfId="0" applyBorder="1" applyAlignment="1">
      <alignment horizontal="center" vertical="center" shrinkToFit="1"/>
    </xf>
    <xf numFmtId="0" fontId="17" fillId="0" borderId="114"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42" xfId="0" applyFont="1" applyBorder="1" applyAlignment="1">
      <alignment horizontal="center" vertical="center" shrinkToFit="1"/>
    </xf>
    <xf numFmtId="0" fontId="0" fillId="0" borderId="57" xfId="0" applyBorder="1" applyAlignment="1">
      <alignment horizontal="center" vertical="center" shrinkToFit="1"/>
    </xf>
    <xf numFmtId="0" fontId="17" fillId="0" borderId="89" xfId="0" applyFont="1" applyBorder="1" applyAlignment="1">
      <alignment horizontal="center" vertical="center" shrinkToFit="1"/>
    </xf>
    <xf numFmtId="0" fontId="17" fillId="0" borderId="90" xfId="0" applyFont="1" applyBorder="1" applyAlignment="1">
      <alignment horizontal="center" vertical="center" shrinkToFit="1"/>
    </xf>
    <xf numFmtId="0" fontId="18" fillId="0" borderId="39" xfId="0" applyFont="1" applyBorder="1" applyAlignment="1">
      <alignment horizontal="center" vertical="center" wrapText="1"/>
    </xf>
    <xf numFmtId="0" fontId="18" fillId="0" borderId="47" xfId="0" applyFont="1" applyBorder="1" applyAlignment="1">
      <alignment horizontal="center" vertical="center" wrapText="1"/>
    </xf>
    <xf numFmtId="0" fontId="0" fillId="0" borderId="90" xfId="0" applyBorder="1" applyAlignment="1">
      <alignment horizontal="center" vertical="center" wrapText="1"/>
    </xf>
    <xf numFmtId="0" fontId="0" fillId="0" borderId="44" xfId="0" applyBorder="1" applyAlignment="1">
      <alignment horizontal="center" vertical="center" wrapText="1"/>
    </xf>
    <xf numFmtId="0" fontId="0" fillId="0" borderId="56" xfId="0" applyBorder="1" applyAlignment="1">
      <alignment horizontal="center" vertical="center" wrapText="1"/>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17" fillId="0" borderId="43" xfId="0" applyFont="1" applyBorder="1" applyAlignment="1">
      <alignment horizontal="center" vertical="center" shrinkToFit="1"/>
    </xf>
    <xf numFmtId="0" fontId="17" fillId="0" borderId="58"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61" xfId="0" applyFont="1" applyBorder="1" applyAlignment="1">
      <alignment horizontal="center" vertical="center" shrinkToFit="1"/>
    </xf>
    <xf numFmtId="0" fontId="18" fillId="0" borderId="92" xfId="0" applyFont="1" applyBorder="1" applyAlignment="1">
      <alignment horizontal="center" vertical="center" wrapText="1"/>
    </xf>
    <xf numFmtId="0" fontId="19" fillId="0" borderId="60" xfId="0" applyFont="1" applyBorder="1" applyAlignment="1">
      <alignment horizontal="center" vertical="center"/>
    </xf>
    <xf numFmtId="0" fontId="0" fillId="0" borderId="61" xfId="0" applyBorder="1" applyAlignment="1">
      <alignment horizontal="center" vertical="center" shrinkToFit="1"/>
    </xf>
    <xf numFmtId="0" fontId="18" fillId="0" borderId="52" xfId="0" applyFont="1" applyBorder="1" applyAlignment="1">
      <alignment horizontal="center" vertical="center" wrapText="1"/>
    </xf>
    <xf numFmtId="0" fontId="19" fillId="0" borderId="61" xfId="0" applyFont="1" applyBorder="1" applyAlignment="1">
      <alignment horizontal="center" vertical="center"/>
    </xf>
    <xf numFmtId="0" fontId="23" fillId="0" borderId="42" xfId="0" applyFont="1" applyBorder="1" applyAlignment="1">
      <alignment horizontal="center" vertical="center" wrapText="1"/>
    </xf>
    <xf numFmtId="0" fontId="19" fillId="0" borderId="57" xfId="0" applyFont="1" applyBorder="1" applyAlignment="1">
      <alignment horizontal="center" vertical="center"/>
    </xf>
    <xf numFmtId="0" fontId="18" fillId="0" borderId="43" xfId="0" applyFont="1" applyBorder="1" applyAlignment="1">
      <alignment horizontal="left" vertical="center" wrapText="1"/>
    </xf>
    <xf numFmtId="0" fontId="19" fillId="0" borderId="58" xfId="0" applyFont="1" applyBorder="1" applyAlignment="1">
      <alignment horizontal="left" vertical="center"/>
    </xf>
    <xf numFmtId="0" fontId="19" fillId="0" borderId="44" xfId="0" applyFont="1" applyBorder="1">
      <alignment vertical="center"/>
    </xf>
    <xf numFmtId="0" fontId="19" fillId="0" borderId="61" xfId="0" applyFont="1" applyBorder="1">
      <alignment vertical="center"/>
    </xf>
    <xf numFmtId="0" fontId="19" fillId="0" borderId="53" xfId="0" applyFont="1" applyBorder="1">
      <alignment vertical="center"/>
    </xf>
    <xf numFmtId="0" fontId="19" fillId="0" borderId="58" xfId="0" applyFont="1" applyBorder="1">
      <alignment vertical="center"/>
    </xf>
    <xf numFmtId="0" fontId="19" fillId="0" borderId="47" xfId="0" applyFont="1" applyBorder="1">
      <alignment vertical="center"/>
    </xf>
    <xf numFmtId="0" fontId="19" fillId="0" borderId="60" xfId="0" applyFont="1" applyBorder="1">
      <alignment vertical="center"/>
    </xf>
    <xf numFmtId="0" fontId="17" fillId="0" borderId="5" xfId="0" applyFont="1" applyBorder="1" applyAlignment="1">
      <alignment horizontal="center" vertical="center" shrinkToFit="1"/>
    </xf>
    <xf numFmtId="0" fontId="17" fillId="0" borderId="34" xfId="0" applyFont="1" applyBorder="1" applyAlignment="1">
      <alignment horizontal="center" vertical="center" shrinkToFit="1"/>
    </xf>
    <xf numFmtId="0" fontId="0" fillId="0" borderId="32" xfId="0" applyBorder="1" applyAlignment="1">
      <alignment horizontal="center" vertical="center"/>
    </xf>
    <xf numFmtId="0" fontId="0" fillId="0" borderId="73" xfId="0" applyBorder="1" applyAlignment="1">
      <alignment horizontal="center" vertical="center"/>
    </xf>
    <xf numFmtId="0" fontId="18" fillId="0" borderId="43" xfId="0" applyFont="1" applyBorder="1" applyAlignment="1">
      <alignment horizontal="center" vertical="center" wrapText="1"/>
    </xf>
    <xf numFmtId="0" fontId="19" fillId="0" borderId="58" xfId="0" applyFont="1" applyBorder="1" applyAlignment="1">
      <alignment horizontal="center" vertical="center"/>
    </xf>
    <xf numFmtId="0" fontId="23" fillId="0" borderId="43" xfId="0" applyFont="1" applyBorder="1" applyAlignment="1">
      <alignment horizontal="center" vertical="center" wrapText="1"/>
    </xf>
    <xf numFmtId="0" fontId="22" fillId="0" borderId="58" xfId="0" applyFont="1" applyBorder="1" applyAlignment="1">
      <alignment horizontal="center" vertical="center"/>
    </xf>
    <xf numFmtId="0" fontId="23" fillId="0" borderId="0" xfId="0" applyFont="1">
      <alignment vertical="center"/>
    </xf>
    <xf numFmtId="188" fontId="23" fillId="0" borderId="0" xfId="0" applyNumberFormat="1" applyFont="1" applyAlignment="1">
      <alignment horizontal="left" vertical="center" wrapText="1" shrinkToFit="1"/>
    </xf>
    <xf numFmtId="0" fontId="23" fillId="0" borderId="0" xfId="0" applyFont="1" applyAlignment="1">
      <alignment horizontal="left" vertical="center" shrinkToFit="1"/>
    </xf>
    <xf numFmtId="0" fontId="23" fillId="0" borderId="0" xfId="0" applyFont="1" applyAlignment="1">
      <alignment vertical="center" shrinkToFit="1"/>
    </xf>
    <xf numFmtId="0" fontId="0" fillId="0" borderId="0" xfId="0" applyAlignment="1">
      <alignment vertical="center" shrinkToFit="1"/>
    </xf>
    <xf numFmtId="0" fontId="25" fillId="0" borderId="0" xfId="0" applyFont="1" applyAlignment="1">
      <alignment horizontal="left" vertical="center" wrapText="1"/>
    </xf>
    <xf numFmtId="0" fontId="3" fillId="0" borderId="94" xfId="0" applyFont="1" applyBorder="1">
      <alignment vertical="center"/>
    </xf>
    <xf numFmtId="0" fontId="0" fillId="0" borderId="94" xfId="0" applyBorder="1">
      <alignment vertical="center"/>
    </xf>
    <xf numFmtId="0" fontId="17" fillId="0" borderId="37" xfId="0" applyFont="1" applyBorder="1" applyAlignment="1">
      <alignment horizontal="center" vertical="center" shrinkToFit="1"/>
    </xf>
    <xf numFmtId="0" fontId="17" fillId="0" borderId="33" xfId="0" applyFont="1" applyBorder="1" applyAlignment="1">
      <alignment horizontal="center" vertical="center" shrinkToFit="1"/>
    </xf>
    <xf numFmtId="0" fontId="15" fillId="0" borderId="37" xfId="0" applyFont="1" applyBorder="1" applyAlignment="1">
      <alignment horizontal="center" vertical="center" wrapText="1"/>
    </xf>
    <xf numFmtId="0" fontId="15" fillId="0" borderId="36" xfId="0" applyFont="1" applyBorder="1" applyAlignment="1">
      <alignment horizontal="center" vertical="center" wrapText="1"/>
    </xf>
    <xf numFmtId="0" fontId="17" fillId="0" borderId="73" xfId="0" applyFont="1" applyBorder="1" applyAlignment="1">
      <alignment horizontal="center" vertical="center"/>
    </xf>
    <xf numFmtId="0" fontId="0" fillId="0" borderId="36" xfId="0" applyBorder="1" applyAlignment="1">
      <alignment horizontal="center" vertical="center" shrinkToFit="1"/>
    </xf>
    <xf numFmtId="0" fontId="17" fillId="0" borderId="41" xfId="0" applyFont="1" applyBorder="1" applyAlignment="1">
      <alignment horizontal="center" vertical="center" shrinkToFit="1"/>
    </xf>
    <xf numFmtId="0" fontId="17" fillId="0" borderId="110" xfId="0" applyFont="1" applyBorder="1" applyAlignment="1">
      <alignment horizontal="center" vertical="center" shrinkToFit="1"/>
    </xf>
    <xf numFmtId="0" fontId="17" fillId="2" borderId="33" xfId="0" applyFont="1" applyFill="1" applyBorder="1" applyAlignment="1">
      <alignment horizontal="center" vertical="center" shrinkToFit="1"/>
    </xf>
    <xf numFmtId="0" fontId="17" fillId="0" borderId="36" xfId="0" applyFont="1" applyBorder="1" applyAlignment="1">
      <alignment horizontal="center" vertical="center" shrinkToFit="1"/>
    </xf>
    <xf numFmtId="0" fontId="17" fillId="0" borderId="41" xfId="0" applyFont="1" applyBorder="1" applyAlignment="1">
      <alignment horizontal="center" vertical="center"/>
    </xf>
    <xf numFmtId="0" fontId="17" fillId="0" borderId="116" xfId="0" applyFont="1" applyBorder="1" applyAlignment="1">
      <alignment horizontal="center" vertical="center"/>
    </xf>
    <xf numFmtId="0" fontId="18" fillId="0" borderId="53" xfId="0" applyFont="1" applyBorder="1" applyAlignment="1">
      <alignment horizontal="center" vertical="center"/>
    </xf>
    <xf numFmtId="0" fontId="18" fillId="0" borderId="58" xfId="0" applyFont="1" applyBorder="1" applyAlignment="1">
      <alignment horizontal="center" vertical="center"/>
    </xf>
    <xf numFmtId="0" fontId="17" fillId="0" borderId="58" xfId="0" applyFont="1" applyBorder="1" applyAlignment="1">
      <alignment horizontal="center" vertical="center"/>
    </xf>
    <xf numFmtId="0" fontId="23" fillId="0" borderId="58"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shrinkToFit="1"/>
    </xf>
    <xf numFmtId="0" fontId="17" fillId="0" borderId="60" xfId="0" applyFont="1" applyBorder="1" applyAlignment="1">
      <alignment horizontal="center" vertical="center" shrinkToFit="1"/>
    </xf>
    <xf numFmtId="0" fontId="17" fillId="0" borderId="55" xfId="0" applyFont="1" applyBorder="1" applyAlignment="1">
      <alignment horizontal="center" vertical="center" shrinkToFit="1"/>
    </xf>
    <xf numFmtId="0" fontId="17" fillId="0" borderId="57" xfId="0" applyFont="1" applyBorder="1" applyAlignment="1">
      <alignment horizontal="center" vertical="center" shrinkToFit="1"/>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7" fillId="0" borderId="54" xfId="0" applyFont="1" applyBorder="1" applyAlignment="1">
      <alignment horizontal="center" vertical="center" shrinkToFit="1"/>
    </xf>
    <xf numFmtId="0" fontId="17" fillId="0" borderId="119" xfId="0" applyFont="1" applyBorder="1" applyAlignment="1">
      <alignment horizontal="center" vertical="center" shrinkToFit="1"/>
    </xf>
    <xf numFmtId="0" fontId="18" fillId="0" borderId="44" xfId="0" applyFont="1" applyBorder="1" applyAlignment="1">
      <alignment horizontal="center" vertical="center" wrapText="1"/>
    </xf>
    <xf numFmtId="0" fontId="17" fillId="0" borderId="53" xfId="0" applyFont="1" applyBorder="1" applyAlignment="1">
      <alignment horizontal="center" vertical="center"/>
    </xf>
    <xf numFmtId="0" fontId="17" fillId="0" borderId="0" xfId="0" applyFont="1" applyAlignment="1">
      <alignment horizontal="center" vertical="center"/>
    </xf>
    <xf numFmtId="0" fontId="17" fillId="0" borderId="61" xfId="0" applyFont="1" applyBorder="1" applyAlignment="1">
      <alignment horizontal="center" vertical="center"/>
    </xf>
    <xf numFmtId="0" fontId="17" fillId="0" borderId="49" xfId="0" applyFont="1" applyBorder="1" applyAlignment="1">
      <alignment horizontal="center" vertical="center" shrinkToFit="1"/>
    </xf>
    <xf numFmtId="0" fontId="0" fillId="0" borderId="50" xfId="0" applyBorder="1" applyAlignment="1">
      <alignment horizontal="center" vertical="center" shrinkToFit="1"/>
    </xf>
    <xf numFmtId="0" fontId="0" fillId="0" borderId="117" xfId="0" applyBorder="1" applyAlignment="1">
      <alignment horizontal="center" vertical="center" shrinkToFit="1"/>
    </xf>
    <xf numFmtId="0" fontId="17" fillId="0" borderId="118" xfId="0" applyFont="1" applyBorder="1" applyAlignment="1">
      <alignment horizontal="center" vertical="center" shrinkToFit="1"/>
    </xf>
    <xf numFmtId="0" fontId="0" fillId="0" borderId="49" xfId="0" applyBorder="1" applyAlignment="1">
      <alignment horizontal="center" vertical="center" shrinkToFit="1"/>
    </xf>
    <xf numFmtId="0" fontId="17" fillId="0" borderId="95" xfId="0" applyFont="1" applyBorder="1" applyAlignment="1">
      <alignment horizontal="center" vertical="center" shrinkToFit="1"/>
    </xf>
    <xf numFmtId="0" fontId="17" fillId="0" borderId="50" xfId="0" applyFont="1" applyBorder="1" applyAlignment="1">
      <alignment horizontal="center" vertical="center" shrinkToFit="1"/>
    </xf>
    <xf numFmtId="0" fontId="17" fillId="0" borderId="117" xfId="0" applyFont="1" applyBorder="1" applyAlignment="1">
      <alignment horizontal="center" vertical="center" shrinkToFit="1"/>
    </xf>
    <xf numFmtId="0" fontId="0" fillId="0" borderId="118" xfId="0" applyBorder="1" applyAlignment="1">
      <alignment horizontal="center" vertical="center" shrinkToFit="1"/>
    </xf>
    <xf numFmtId="0" fontId="17" fillId="0" borderId="91" xfId="0" applyFont="1" applyBorder="1" applyAlignment="1">
      <alignment horizontal="center" vertical="center" shrinkToFit="1"/>
    </xf>
    <xf numFmtId="0" fontId="17" fillId="0" borderId="46" xfId="0" applyFont="1" applyBorder="1" applyAlignment="1">
      <alignment horizontal="center" vertical="center" shrinkToFit="1"/>
    </xf>
    <xf numFmtId="0" fontId="23" fillId="0" borderId="88" xfId="0" applyFont="1" applyBorder="1">
      <alignment vertical="center"/>
    </xf>
    <xf numFmtId="0" fontId="15" fillId="0" borderId="55" xfId="0" applyFont="1" applyBorder="1" applyAlignment="1">
      <alignment horizontal="center" vertical="center"/>
    </xf>
    <xf numFmtId="0" fontId="15" fillId="0" borderId="57" xfId="0" applyFont="1" applyBorder="1" applyAlignment="1">
      <alignment horizontal="center" vertical="center"/>
    </xf>
    <xf numFmtId="0" fontId="17" fillId="0" borderId="48" xfId="0" applyFont="1" applyBorder="1" applyAlignment="1">
      <alignment horizontal="center" vertical="center" shrinkToFit="1"/>
    </xf>
    <xf numFmtId="0" fontId="17" fillId="0" borderId="107" xfId="0" applyFont="1" applyBorder="1" applyAlignment="1">
      <alignment horizontal="center" vertical="center" shrinkToFit="1"/>
    </xf>
    <xf numFmtId="0" fontId="17" fillId="0" borderId="112" xfId="0" applyFont="1" applyBorder="1" applyAlignment="1">
      <alignment horizontal="center" vertical="center" shrinkToFit="1"/>
    </xf>
    <xf numFmtId="0" fontId="25" fillId="0" borderId="0" xfId="0" applyFont="1" applyAlignment="1">
      <alignment horizontal="left" vertical="top" wrapText="1"/>
    </xf>
    <xf numFmtId="0" fontId="22" fillId="0" borderId="0" xfId="0" applyFont="1" applyAlignment="1">
      <alignment horizontal="left" vertical="center"/>
    </xf>
    <xf numFmtId="0" fontId="22" fillId="0" borderId="0" xfId="0" applyFont="1" applyAlignment="1">
      <alignment horizontal="center" vertical="center"/>
    </xf>
    <xf numFmtId="0" fontId="0" fillId="0" borderId="0" xfId="0" applyAlignment="1">
      <alignment horizontal="left" vertical="center"/>
    </xf>
    <xf numFmtId="0" fontId="22" fillId="0" borderId="0" xfId="0" applyFont="1" applyAlignment="1">
      <alignment horizontal="center" vertical="center" wrapText="1"/>
    </xf>
    <xf numFmtId="0" fontId="17" fillId="0" borderId="51" xfId="0" applyFont="1" applyBorder="1" applyAlignment="1">
      <alignment horizontal="center" vertical="center"/>
    </xf>
    <xf numFmtId="0" fontId="17" fillId="0" borderId="46" xfId="0" applyFont="1" applyBorder="1" applyAlignment="1">
      <alignment horizontal="center" vertical="center"/>
    </xf>
    <xf numFmtId="0" fontId="17" fillId="0" borderId="38" xfId="0" applyFont="1" applyBorder="1" applyAlignment="1">
      <alignment horizontal="center" vertical="center"/>
    </xf>
    <xf numFmtId="0" fontId="15" fillId="0" borderId="38" xfId="0" applyFont="1" applyBorder="1" applyAlignment="1">
      <alignment horizontal="center" vertical="center" wrapText="1" shrinkToFit="1"/>
    </xf>
    <xf numFmtId="0" fontId="15" fillId="0" borderId="53" xfId="0" applyFont="1" applyBorder="1" applyAlignment="1">
      <alignment horizontal="center" vertical="center" shrinkToFit="1"/>
    </xf>
    <xf numFmtId="0" fontId="15" fillId="0" borderId="58" xfId="0" applyFont="1" applyBorder="1" applyAlignment="1">
      <alignment horizontal="center" vertical="center" shrinkToFit="1"/>
    </xf>
    <xf numFmtId="0" fontId="15" fillId="0" borderId="53" xfId="0" applyFont="1" applyBorder="1" applyAlignment="1">
      <alignment horizontal="center" vertical="center" wrapText="1" shrinkToFit="1"/>
    </xf>
    <xf numFmtId="0" fontId="15" fillId="0" borderId="58" xfId="0" applyFont="1" applyBorder="1" applyAlignment="1">
      <alignment horizontal="center" vertical="center" wrapText="1" shrinkToFit="1"/>
    </xf>
    <xf numFmtId="0" fontId="15" fillId="0" borderId="39" xfId="0" applyFont="1" applyBorder="1" applyAlignment="1">
      <alignment horizontal="center" vertical="center" wrapText="1" shrinkToFit="1"/>
    </xf>
    <xf numFmtId="0" fontId="17" fillId="0" borderId="73" xfId="0" applyFont="1" applyBorder="1" applyAlignment="1">
      <alignment horizontal="center" vertical="center" wrapText="1"/>
    </xf>
    <xf numFmtId="0" fontId="0" fillId="0" borderId="60" xfId="0" applyBorder="1">
      <alignment vertical="center"/>
    </xf>
    <xf numFmtId="190" fontId="17" fillId="0" borderId="38" xfId="0" applyNumberFormat="1" applyFont="1" applyBorder="1" applyAlignment="1">
      <alignment horizontal="center" vertical="center" wrapText="1" shrinkToFit="1"/>
    </xf>
    <xf numFmtId="190" fontId="17" fillId="0" borderId="53" xfId="0" applyNumberFormat="1" applyFont="1" applyBorder="1" applyAlignment="1">
      <alignment horizontal="center" vertical="center" shrinkToFit="1"/>
    </xf>
    <xf numFmtId="190" fontId="17" fillId="0" borderId="58" xfId="0" applyNumberFormat="1" applyFont="1" applyBorder="1" applyAlignment="1">
      <alignment horizontal="center" vertical="center" shrinkToFit="1"/>
    </xf>
    <xf numFmtId="0" fontId="17" fillId="0" borderId="60" xfId="0" applyFont="1" applyBorder="1" applyAlignment="1">
      <alignment horizontal="center" vertical="center"/>
    </xf>
    <xf numFmtId="184" fontId="17" fillId="0" borderId="73" xfId="0" applyNumberFormat="1" applyFont="1" applyBorder="1" applyAlignment="1">
      <alignment horizontal="center" vertical="center" shrinkToFit="1"/>
    </xf>
    <xf numFmtId="184" fontId="17" fillId="0" borderId="38" xfId="0" applyNumberFormat="1" applyFont="1" applyBorder="1" applyAlignment="1">
      <alignment horizontal="center" vertical="center" shrinkToFit="1"/>
    </xf>
    <xf numFmtId="184" fontId="17" fillId="0" borderId="51" xfId="0" applyNumberFormat="1" applyFont="1" applyBorder="1" applyAlignment="1">
      <alignment horizontal="center" vertical="center" shrinkToFit="1"/>
    </xf>
    <xf numFmtId="184" fontId="17" fillId="0" borderId="53" xfId="0" applyNumberFormat="1" applyFont="1" applyBorder="1" applyAlignment="1">
      <alignment horizontal="center" vertical="center" shrinkToFit="1"/>
    </xf>
    <xf numFmtId="0" fontId="17" fillId="0" borderId="38" xfId="0" applyFont="1" applyBorder="1" applyAlignment="1">
      <alignment horizontal="center" vertical="center" wrapText="1" shrinkToFit="1"/>
    </xf>
    <xf numFmtId="0" fontId="17" fillId="0" borderId="39" xfId="0" applyFont="1" applyBorder="1" applyAlignment="1">
      <alignment horizontal="center" vertical="center" shrinkToFit="1"/>
    </xf>
    <xf numFmtId="0" fontId="17" fillId="0" borderId="47" xfId="0" applyFont="1" applyBorder="1" applyAlignment="1">
      <alignment horizontal="center" vertical="center" shrinkToFit="1"/>
    </xf>
    <xf numFmtId="0" fontId="17" fillId="0" borderId="44" xfId="0" applyFont="1" applyBorder="1" applyAlignment="1">
      <alignment horizontal="center" vertical="center" shrinkToFit="1"/>
    </xf>
    <xf numFmtId="0" fontId="15" fillId="0" borderId="89" xfId="0" applyFont="1" applyBorder="1" applyAlignment="1">
      <alignment horizontal="center" shrinkToFit="1"/>
    </xf>
    <xf numFmtId="0" fontId="15" fillId="0" borderId="73" xfId="0" applyFont="1" applyBorder="1" applyAlignment="1">
      <alignment horizontal="center" shrinkToFit="1"/>
    </xf>
    <xf numFmtId="184" fontId="30" fillId="0" borderId="0" xfId="0" applyNumberFormat="1" applyFont="1" applyAlignment="1">
      <alignment horizontal="center" vertical="center"/>
    </xf>
    <xf numFmtId="0" fontId="17" fillId="0" borderId="122" xfId="0" applyFont="1" applyBorder="1" applyAlignment="1">
      <alignment horizontal="center" vertical="center"/>
    </xf>
    <xf numFmtId="0" fontId="17" fillId="0" borderId="123" xfId="0" applyFont="1" applyBorder="1" applyAlignment="1">
      <alignment horizontal="center" vertical="center"/>
    </xf>
    <xf numFmtId="0" fontId="17" fillId="0" borderId="39" xfId="0" applyFont="1" applyBorder="1" applyAlignment="1">
      <alignment horizontal="center" vertical="center"/>
    </xf>
    <xf numFmtId="0" fontId="15" fillId="0" borderId="44" xfId="0" applyFont="1" applyBorder="1" applyAlignment="1">
      <alignment horizontal="center" vertical="top" shrinkToFit="1"/>
    </xf>
    <xf numFmtId="0" fontId="15" fillId="0" borderId="51" xfId="0" applyFont="1" applyBorder="1" applyAlignment="1">
      <alignment horizontal="center" vertical="top" shrinkToFit="1"/>
    </xf>
    <xf numFmtId="0" fontId="17" fillId="0" borderId="44" xfId="0" applyFont="1" applyBorder="1" applyAlignment="1">
      <alignment horizontal="center" vertical="top" shrinkToFit="1"/>
    </xf>
    <xf numFmtId="0" fontId="0" fillId="0" borderId="56" xfId="0" applyBorder="1">
      <alignment vertical="center"/>
    </xf>
    <xf numFmtId="0" fontId="17" fillId="0" borderId="89" xfId="0" applyFont="1" applyBorder="1" applyAlignment="1">
      <alignment horizontal="center" shrinkToFit="1"/>
    </xf>
    <xf numFmtId="0" fontId="0" fillId="0" borderId="90" xfId="0" applyBorder="1">
      <alignment vertical="center"/>
    </xf>
    <xf numFmtId="0" fontId="17" fillId="0" borderId="40" xfId="0" applyFont="1" applyBorder="1" applyAlignment="1">
      <alignment horizontal="center" vertical="center"/>
    </xf>
    <xf numFmtId="0" fontId="17" fillId="0" borderId="51" xfId="0" applyFont="1" applyBorder="1" applyAlignment="1">
      <alignment horizontal="center" vertical="center" shrinkToFit="1"/>
    </xf>
    <xf numFmtId="184" fontId="17" fillId="0" borderId="40" xfId="0" applyNumberFormat="1" applyFont="1" applyBorder="1" applyAlignment="1">
      <alignment horizontal="center" vertical="center" shrinkToFit="1"/>
    </xf>
    <xf numFmtId="184" fontId="17" fillId="0" borderId="42" xfId="0" applyNumberFormat="1" applyFont="1" applyBorder="1" applyAlignment="1">
      <alignment horizontal="center" vertical="center" shrinkToFit="1"/>
    </xf>
    <xf numFmtId="0" fontId="17" fillId="0" borderId="129" xfId="0" applyFont="1" applyBorder="1" applyAlignment="1">
      <alignment horizontal="center" vertical="center"/>
    </xf>
    <xf numFmtId="0" fontId="17" fillId="0" borderId="130" xfId="0" applyFont="1" applyBorder="1" applyAlignment="1">
      <alignment horizontal="center" vertical="center"/>
    </xf>
    <xf numFmtId="0" fontId="17" fillId="0" borderId="56" xfId="0" applyFont="1" applyBorder="1" applyAlignment="1">
      <alignment horizontal="center" vertical="center"/>
    </xf>
    <xf numFmtId="0" fontId="17" fillId="0" borderId="8" xfId="0" applyFont="1" applyBorder="1" applyAlignment="1">
      <alignment horizontal="center" vertical="center"/>
    </xf>
    <xf numFmtId="0" fontId="17" fillId="0" borderId="112" xfId="0" applyFont="1" applyBorder="1" applyAlignment="1">
      <alignment horizontal="center" vertical="center"/>
    </xf>
    <xf numFmtId="0" fontId="0" fillId="0" borderId="0" xfId="0" applyAlignment="1">
      <alignment horizontal="center" vertical="center"/>
    </xf>
    <xf numFmtId="0" fontId="0" fillId="0" borderId="56" xfId="0" applyBorder="1" applyAlignment="1">
      <alignment horizontal="center" vertical="center"/>
    </xf>
    <xf numFmtId="0" fontId="17" fillId="0" borderId="107" xfId="0" applyFont="1" applyBorder="1" applyAlignment="1">
      <alignment horizontal="center" vertical="center"/>
    </xf>
    <xf numFmtId="0" fontId="17" fillId="0" borderId="59" xfId="0" applyFont="1" applyBorder="1" applyAlignment="1">
      <alignment horizontal="center" vertical="center" wrapText="1"/>
    </xf>
    <xf numFmtId="0" fontId="17" fillId="0" borderId="114" xfId="0" applyFont="1" applyBorder="1" applyAlignment="1">
      <alignment horizontal="center" vertical="center"/>
    </xf>
    <xf numFmtId="0" fontId="17" fillId="0" borderId="134" xfId="0" applyFont="1" applyBorder="1" applyAlignment="1">
      <alignment horizontal="center" vertical="center"/>
    </xf>
    <xf numFmtId="0" fontId="17" fillId="0" borderId="50" xfId="0" applyFont="1" applyBorder="1" applyAlignment="1">
      <alignment horizontal="center" vertical="center" wrapText="1"/>
    </xf>
    <xf numFmtId="0" fontId="17" fillId="0" borderId="50" xfId="0" applyFont="1" applyBorder="1" applyAlignment="1">
      <alignment horizontal="center" vertical="center"/>
    </xf>
    <xf numFmtId="0" fontId="17" fillId="0" borderId="135" xfId="0" applyFont="1" applyBorder="1" applyAlignment="1">
      <alignment horizontal="center" vertical="center" wrapText="1"/>
    </xf>
    <xf numFmtId="58" fontId="19" fillId="0" borderId="4" xfId="0" applyNumberFormat="1" applyFont="1" applyBorder="1" applyAlignment="1">
      <alignment horizontal="distributed" vertical="center" justifyLastLine="1"/>
    </xf>
    <xf numFmtId="0" fontId="19" fillId="0" borderId="7" xfId="0" applyFont="1" applyBorder="1" applyAlignment="1">
      <alignment horizontal="distributed" vertical="center" justifyLastLine="1"/>
    </xf>
    <xf numFmtId="0" fontId="19" fillId="0" borderId="12" xfId="0" applyFont="1" applyBorder="1" applyAlignment="1">
      <alignment horizontal="distributed" vertical="center" justifyLastLine="1"/>
    </xf>
    <xf numFmtId="0" fontId="3" fillId="0" borderId="136" xfId="0" applyFont="1" applyBorder="1" applyAlignment="1">
      <alignment horizontal="left" vertical="center"/>
    </xf>
    <xf numFmtId="0" fontId="3" fillId="0" borderId="137" xfId="0" applyFont="1" applyBorder="1" applyAlignment="1">
      <alignment horizontal="left" vertical="center"/>
    </xf>
    <xf numFmtId="0" fontId="3" fillId="0" borderId="138" xfId="0" applyFont="1" applyBorder="1" applyAlignment="1">
      <alignment horizontal="left" vertical="center"/>
    </xf>
    <xf numFmtId="0" fontId="0" fillId="0" borderId="12" xfId="0" applyBorder="1" applyAlignment="1">
      <alignment horizontal="distributed" vertical="center" justifyLastLine="1"/>
    </xf>
    <xf numFmtId="58" fontId="19" fillId="0" borderId="7" xfId="0" applyNumberFormat="1" applyFont="1" applyBorder="1" applyAlignment="1">
      <alignment horizontal="distributed" vertical="center" justifyLastLine="1"/>
    </xf>
    <xf numFmtId="58" fontId="19" fillId="0" borderId="12" xfId="0" applyNumberFormat="1" applyFont="1" applyBorder="1" applyAlignment="1">
      <alignment horizontal="distributed" vertical="center" justifyLastLine="1"/>
    </xf>
    <xf numFmtId="0" fontId="0" fillId="0" borderId="1" xfId="0" applyBorder="1" applyAlignment="1">
      <alignment horizontal="left" vertical="center" wrapText="1"/>
    </xf>
    <xf numFmtId="58" fontId="19" fillId="0" borderId="1" xfId="0" applyNumberFormat="1" applyFont="1" applyBorder="1" applyAlignment="1">
      <alignment horizontal="distributed" vertical="center" justifyLastLine="1"/>
    </xf>
    <xf numFmtId="0" fontId="19" fillId="0" borderId="1" xfId="0" applyFont="1" applyBorder="1" applyAlignment="1">
      <alignment horizontal="distributed" vertical="center" justifyLastLine="1"/>
    </xf>
    <xf numFmtId="0" fontId="9" fillId="0" borderId="1" xfId="0" applyFont="1" applyBorder="1" applyAlignment="1">
      <alignment horizontal="center" vertical="center"/>
    </xf>
  </cellXfs>
  <cellStyles count="150">
    <cellStyle name="20% - アクセント 1 2" xfId="9" xr:uid="{D0BA82B9-9D5A-4AFF-8A50-F20CC90FF33C}"/>
    <cellStyle name="20% - アクセント 1 3" xfId="10" xr:uid="{201CACD8-92BE-41A9-B377-7268FA825305}"/>
    <cellStyle name="20% - アクセント 1 3 2" xfId="11" xr:uid="{83D1780B-4CB1-44C2-AE68-913B7EA02B1C}"/>
    <cellStyle name="20% - アクセント 2 2" xfId="12" xr:uid="{42E4E27C-74F2-485D-977A-EA9FB25E4CB9}"/>
    <cellStyle name="20% - アクセント 2 3" xfId="13" xr:uid="{1293D2E5-25EE-4503-A3B8-2DA181373767}"/>
    <cellStyle name="20% - アクセント 2 3 2" xfId="14" xr:uid="{48B66072-C35D-462A-ADE3-000B167BA5B8}"/>
    <cellStyle name="20% - アクセント 3 2" xfId="15" xr:uid="{E347E4E0-68DC-4A2A-B9EA-BDA480CE5B27}"/>
    <cellStyle name="20% - アクセント 3 3" xfId="16" xr:uid="{6AF0EFE7-49B1-4B2B-8541-3F39316154C8}"/>
    <cellStyle name="20% - アクセント 3 3 2" xfId="17" xr:uid="{83F48422-6823-4B72-B9EE-3404D8223925}"/>
    <cellStyle name="20% - アクセント 4 2" xfId="18" xr:uid="{C52D03AD-743C-4079-A548-98FB52279503}"/>
    <cellStyle name="20% - アクセント 4 3" xfId="19" xr:uid="{D092A31E-DF75-4C42-957F-88F4B0FFFA3E}"/>
    <cellStyle name="20% - アクセント 4 3 2" xfId="20" xr:uid="{4D011E30-38E8-4CFA-BE96-3059BCFC3133}"/>
    <cellStyle name="20% - アクセント 5 2" xfId="21" xr:uid="{765F45F1-9E0A-40CD-94C8-09F3A4C9F851}"/>
    <cellStyle name="20% - アクセント 5 3" xfId="22" xr:uid="{924B10D6-41A2-4892-8C8D-C6AE3D396245}"/>
    <cellStyle name="20% - アクセント 5 3 2" xfId="23" xr:uid="{A6461877-8C90-484E-9697-DA73D7B8B9B9}"/>
    <cellStyle name="20% - アクセント 5 4" xfId="24" xr:uid="{6952858F-EC1B-4EE7-902C-D4F46DDCA824}"/>
    <cellStyle name="20% - アクセント 5 4 2" xfId="25" xr:uid="{92F4221C-BD94-4BE9-BB08-25A5BC137910}"/>
    <cellStyle name="20% - アクセント 6 2" xfId="26" xr:uid="{A9A6B3DB-D972-475D-8742-172CB3835A5A}"/>
    <cellStyle name="20% - アクセント 6 3" xfId="27" xr:uid="{D6FA3C81-5615-448D-924C-35588A6C91A6}"/>
    <cellStyle name="20% - アクセント 6 3 2" xfId="28" xr:uid="{72A658A7-D1CA-4D02-9517-00952648EE1D}"/>
    <cellStyle name="20% - アクセント 6 4" xfId="29" xr:uid="{4A440B14-8046-401C-B283-C5B4E09DDE1A}"/>
    <cellStyle name="20% - アクセント 6 4 2" xfId="30" xr:uid="{4526EBC2-F3E7-4FD1-89EB-DDE3C9CDE7C2}"/>
    <cellStyle name="40% - アクセント 1 2" xfId="31" xr:uid="{F317AC9D-0269-4802-BA4B-072DFF22291E}"/>
    <cellStyle name="40% - アクセント 1 3" xfId="32" xr:uid="{6F1449D9-43D1-4AE6-93E0-66D2FC9F903C}"/>
    <cellStyle name="40% - アクセント 1 3 2" xfId="33" xr:uid="{1960B330-D0B7-4FD2-A113-9B7BA2D28814}"/>
    <cellStyle name="40% - アクセント 2 2" xfId="34" xr:uid="{4EFCFF24-2091-44B8-BEB1-640FBE1B21B7}"/>
    <cellStyle name="40% - アクセント 2 2 2" xfId="35" xr:uid="{94CF39AE-D95B-41E6-B775-8B80097EC65A}"/>
    <cellStyle name="40% - アクセント 2 2 2 2" xfId="36" xr:uid="{44449384-40C6-487C-BAE7-C8F2109A7C85}"/>
    <cellStyle name="40% - アクセント 2 3" xfId="37" xr:uid="{D855C80C-0FDB-49D4-B1C9-D8BFB3F804B8}"/>
    <cellStyle name="40% - アクセント 2 3 2" xfId="38" xr:uid="{07227977-6512-4673-A082-E64B3F245366}"/>
    <cellStyle name="40% - アクセント 2 4" xfId="39" xr:uid="{D0332184-51D9-4804-A342-978D92A13319}"/>
    <cellStyle name="40% - アクセント 2 4 2" xfId="40" xr:uid="{8FA026A0-151E-4D49-AE91-5B0C35699A68}"/>
    <cellStyle name="40% - アクセント 3 2" xfId="41" xr:uid="{C0D8F8DD-8C21-4E0F-8E40-113AB598E1DC}"/>
    <cellStyle name="40% - アクセント 3 3" xfId="42" xr:uid="{B37FCEE6-CB0E-492F-9055-FD55532B05DD}"/>
    <cellStyle name="40% - アクセント 3 3 2" xfId="43" xr:uid="{E2BFEAC6-E1DA-4EAD-8B54-4EA4109DCA15}"/>
    <cellStyle name="40% - アクセント 4 2" xfId="44" xr:uid="{AABB6AC1-F37F-4334-B16F-68258ED0B6E8}"/>
    <cellStyle name="40% - アクセント 4 3" xfId="45" xr:uid="{B2B2C766-28CA-460F-B735-55614B20D671}"/>
    <cellStyle name="40% - アクセント 4 3 2" xfId="46" xr:uid="{43183C95-EDD3-474C-A966-DF880D79FE8C}"/>
    <cellStyle name="40% - アクセント 5 2" xfId="47" xr:uid="{DEA508D9-69A9-45A0-BF03-35CA939B5C4A}"/>
    <cellStyle name="40% - アクセント 5 2 2" xfId="48" xr:uid="{37EF1E9C-DB43-4F16-9F15-76E1414F2B8F}"/>
    <cellStyle name="40% - アクセント 5 2 2 2" xfId="49" xr:uid="{A59F55E4-B81C-4328-972C-686219A9CFEA}"/>
    <cellStyle name="40% - アクセント 5 3" xfId="50" xr:uid="{78686EF9-19F5-40A0-87D0-5473EDCD4C3E}"/>
    <cellStyle name="40% - アクセント 5 3 2" xfId="51" xr:uid="{B8472C0A-36CD-4DFF-9BF0-41DAC6E92D32}"/>
    <cellStyle name="40% - アクセント 5 4" xfId="52" xr:uid="{AF4DBFB1-878C-46C7-AB31-F74435D754BD}"/>
    <cellStyle name="40% - アクセント 5 4 2" xfId="53" xr:uid="{0319478C-7890-4CDA-A387-81CD3199009C}"/>
    <cellStyle name="40% - アクセント 6 2" xfId="54" xr:uid="{AE0786CF-B09F-40BC-9677-2D198B04898C}"/>
    <cellStyle name="40% - アクセント 6 3" xfId="55" xr:uid="{F1D8B1AB-8BE8-439F-9035-F427CC201297}"/>
    <cellStyle name="40% - アクセント 6 3 2" xfId="56" xr:uid="{6C3E6EE6-152D-4843-9736-64792CA5EF34}"/>
    <cellStyle name="60% - アクセント 1 2" xfId="57" xr:uid="{AAD30925-EAD5-4673-B844-64E999D827DD}"/>
    <cellStyle name="60% - アクセント 1 3" xfId="58" xr:uid="{09BC3110-8C9A-4BB5-8B22-8B4BC980AD98}"/>
    <cellStyle name="60% - アクセント 1 3 2" xfId="59" xr:uid="{736FF49E-FC88-4150-841B-3DFA81865B82}"/>
    <cellStyle name="60% - アクセント 2 2" xfId="60" xr:uid="{E5744DF0-DDDC-445B-8A82-DD45A8279AF1}"/>
    <cellStyle name="60% - アクセント 2 3" xfId="61" xr:uid="{C604B00B-4DCE-46F7-B705-D92110D5E59E}"/>
    <cellStyle name="60% - アクセント 2 3 2" xfId="62" xr:uid="{0CB10986-FE40-4461-8619-2727BF8909E0}"/>
    <cellStyle name="60% - アクセント 3 2" xfId="63" xr:uid="{8A97A904-6D3C-4CFB-BFCC-7C7EFA4FF827}"/>
    <cellStyle name="60% - アクセント 3 3" xfId="64" xr:uid="{2F9DD37B-C714-46EF-B96F-F9209C426577}"/>
    <cellStyle name="60% - アクセント 3 3 2" xfId="65" xr:uid="{BB6B5898-A2A9-45FC-ABA7-0D57F973289F}"/>
    <cellStyle name="60% - アクセント 4 2" xfId="66" xr:uid="{121F97E5-A0EA-418E-A171-E55C46A78ED3}"/>
    <cellStyle name="60% - アクセント 4 3" xfId="67" xr:uid="{0EEFC2BB-A35F-44DE-84EF-A581DDFCC2D8}"/>
    <cellStyle name="60% - アクセント 4 3 2" xfId="68" xr:uid="{4207CE56-5F9C-424D-AABD-CF65DC00447B}"/>
    <cellStyle name="60% - アクセント 5 2" xfId="69" xr:uid="{558021F9-94C5-4255-A5F1-8527A2F74D2E}"/>
    <cellStyle name="60% - アクセント 5 3" xfId="70" xr:uid="{C370AFD2-9543-4CD9-9366-9DB3BC255C28}"/>
    <cellStyle name="60% - アクセント 5 3 2" xfId="71" xr:uid="{E13E73F7-88C5-414C-98CD-9F25F74C70D5}"/>
    <cellStyle name="60% - アクセント 6 2" xfId="72" xr:uid="{72095F9B-91CE-4A00-861D-27E89A315CEA}"/>
    <cellStyle name="60% - アクセント 6 3" xfId="73" xr:uid="{CC70578F-0098-4565-A71D-E8951D77B20B}"/>
    <cellStyle name="60% - アクセント 6 3 2" xfId="74" xr:uid="{3FCF2693-6CE4-4761-B520-9ED587B87D99}"/>
    <cellStyle name="アクセント 1 2" xfId="75" xr:uid="{C91200B2-F97A-4A6D-93A6-994A41D4FEDA}"/>
    <cellStyle name="アクセント 1 3" xfId="76" xr:uid="{EC0CAD56-B4EF-4A36-9D13-E31D553251E5}"/>
    <cellStyle name="アクセント 1 3 2" xfId="77" xr:uid="{AC9B82C0-F8F3-4379-BD40-5E5A9E10700D}"/>
    <cellStyle name="アクセント 2 2" xfId="78" xr:uid="{E8C74E96-7DD2-4239-AC72-0DD02381EB73}"/>
    <cellStyle name="アクセント 2 3" xfId="79" xr:uid="{5B488AA4-960A-4FEA-91C1-35288C248A9C}"/>
    <cellStyle name="アクセント 2 3 2" xfId="80" xr:uid="{7FC2BCC1-2574-4757-B491-5FD8FF77706D}"/>
    <cellStyle name="アクセント 3 2" xfId="81" xr:uid="{B52EE0F9-BEC0-4498-916A-B8AEA340E253}"/>
    <cellStyle name="アクセント 3 3" xfId="82" xr:uid="{1C00EB78-8738-4675-859D-1DE2A8C9F738}"/>
    <cellStyle name="アクセント 3 3 2" xfId="83" xr:uid="{5615F565-A97E-45C2-BFD0-4B5E259354A7}"/>
    <cellStyle name="アクセント 4 2" xfId="84" xr:uid="{48E36857-3D00-446F-83BA-C822E291C679}"/>
    <cellStyle name="アクセント 4 3" xfId="85" xr:uid="{260FC038-1D6C-411C-A741-1B33E617885F}"/>
    <cellStyle name="アクセント 4 3 2" xfId="86" xr:uid="{94769236-4E08-41B2-B6FF-9F0A2367952F}"/>
    <cellStyle name="アクセント 5 2" xfId="87" xr:uid="{96FB3C3D-B614-4D39-8051-AFB555691776}"/>
    <cellStyle name="アクセント 5 3" xfId="88" xr:uid="{81B967CD-F419-4BDB-8737-886249F5FA9C}"/>
    <cellStyle name="アクセント 5 3 2" xfId="89" xr:uid="{C18202E9-9DEA-42DA-A31E-6FAB375A681A}"/>
    <cellStyle name="アクセント 6 2" xfId="90" xr:uid="{B9292162-EFF5-4884-828F-133578101D94}"/>
    <cellStyle name="アクセント 6 3" xfId="91" xr:uid="{1B013D20-3679-4B9A-8444-EC8C0B3812E7}"/>
    <cellStyle name="アクセント 6 3 2" xfId="92" xr:uid="{224022E4-7546-4194-BC14-A5DE235004B6}"/>
    <cellStyle name="タイトル 2" xfId="94" xr:uid="{CA9EAD3A-7C8B-4A43-8779-64D2E4D64F2A}"/>
    <cellStyle name="タイトル 3" xfId="95" xr:uid="{3203BA4A-CB5F-4A15-ACD9-2F882C719B2B}"/>
    <cellStyle name="タイトル 3 2" xfId="96" xr:uid="{3C398E6B-CD8C-4B48-B3F3-B2389FA707D9}"/>
    <cellStyle name="タイトル 4" xfId="93" xr:uid="{27359DC4-ECF8-40E4-96E6-9E7DCA1F2F68}"/>
    <cellStyle name="チェック セル 2" xfId="97" xr:uid="{A86C1B32-1DBC-47D9-A76B-8DDE4E4703FB}"/>
    <cellStyle name="チェック セル 3" xfId="98" xr:uid="{0A4B41B3-FFFA-4173-8356-C67CD3B9C28C}"/>
    <cellStyle name="チェック セル 3 2" xfId="99" xr:uid="{717C5324-52D0-4BCB-BD91-189B66329402}"/>
    <cellStyle name="どちらでもない 2" xfId="100" xr:uid="{87C5E49D-32A8-4227-A75B-0ADA89C65775}"/>
    <cellStyle name="どちらでもない 3" xfId="101" xr:uid="{45FD8C5E-AF99-4C80-BA01-0FAD838ABAD8}"/>
    <cellStyle name="どちらでもない 3 2" xfId="102" xr:uid="{31B42093-17D3-4040-80EB-60DBB905C4E9}"/>
    <cellStyle name="パーセント" xfId="2" builtinId="5"/>
    <cellStyle name="メモ 2" xfId="103" xr:uid="{194177D6-A54C-4DF7-8712-B45E4218CAFD}"/>
    <cellStyle name="メモ 3" xfId="104" xr:uid="{E8ABE1FC-93FF-4E16-A3BB-503C30E1AA42}"/>
    <cellStyle name="メモ 3 2" xfId="105" xr:uid="{9D0DF6B6-3C69-4ACA-8806-F68CE4944C0B}"/>
    <cellStyle name="リンク セル 2" xfId="107" xr:uid="{38A509D5-BE5F-484E-9B8D-467FCFE1F89F}"/>
    <cellStyle name="リンク セル 3" xfId="106" xr:uid="{4491EA10-5E34-414B-8D1D-10CAC92F3EDF}"/>
    <cellStyle name="悪い 2" xfId="108" xr:uid="{9ECC971C-29DF-4D80-94E1-09931D80A146}"/>
    <cellStyle name="悪い 3" xfId="109" xr:uid="{8AF3C17A-E91B-4C53-8586-B0316C78952B}"/>
    <cellStyle name="悪い 3 2" xfId="110" xr:uid="{BABDCDC5-F6BB-4BF3-BFC6-A7079A99C4F2}"/>
    <cellStyle name="計算 2" xfId="111" xr:uid="{D910D00A-4FFC-4C60-A517-EA2DB440A864}"/>
    <cellStyle name="計算 3" xfId="112" xr:uid="{DAD296A3-30C1-413F-8A9B-2AB4C53CAB4F}"/>
    <cellStyle name="計算 3 2" xfId="113" xr:uid="{CBA8053A-523A-464F-B795-4143181A620F}"/>
    <cellStyle name="警告文 2" xfId="114" xr:uid="{2E735787-2043-4B38-A8FB-C14DE7C77C5F}"/>
    <cellStyle name="警告文 3" xfId="115" xr:uid="{D96AC7D9-1789-46DA-BD41-D3893A1FFB5C}"/>
    <cellStyle name="警告文 3 2" xfId="116" xr:uid="{70DAF0AE-DDFB-4B7B-BF69-4E062ACE1DD8}"/>
    <cellStyle name="桁区切り" xfId="1" builtinId="6"/>
    <cellStyle name="桁区切り 2" xfId="8" xr:uid="{96E07330-938E-459D-8B4B-2458A1EADA20}"/>
    <cellStyle name="見出し 1 2" xfId="118" xr:uid="{1CF287AE-656E-48E8-BB3B-33066547AAE9}"/>
    <cellStyle name="見出し 1 3" xfId="117" xr:uid="{52261444-457E-464D-BE16-D88FB0B8F2BA}"/>
    <cellStyle name="見出し 2 2" xfId="119" xr:uid="{C8573C6C-B467-4488-8E0F-45AECF33AD4C}"/>
    <cellStyle name="見出し 2 2 2" xfId="120" xr:uid="{ECD149A0-DE25-4EB8-AC3C-13FEA0A2C6FD}"/>
    <cellStyle name="見出し 2 2 2 2" xfId="121" xr:uid="{53AE835F-831B-420B-A810-BDCAC89E73FD}"/>
    <cellStyle name="見出し 2 3" xfId="122" xr:uid="{B94208F1-C7FF-4D9C-8EFE-D6991D77C026}"/>
    <cellStyle name="見出し 2 3 2" xfId="123" xr:uid="{3F82A541-DB08-40D4-9047-B125BDA3CE32}"/>
    <cellStyle name="見出し 2 4" xfId="124" xr:uid="{F2FCE343-3409-4DEB-BB48-AEB05CC2A791}"/>
    <cellStyle name="見出し 2 4 2" xfId="125" xr:uid="{B694E0C8-DC96-47B8-9413-D94175B47E30}"/>
    <cellStyle name="見出し 3 2" xfId="127" xr:uid="{78D892F0-D52B-4134-AB11-1B4930DDEA26}"/>
    <cellStyle name="見出し 3 3" xfId="126" xr:uid="{21307FAE-38DC-43DE-975C-358D911542AE}"/>
    <cellStyle name="見出し 4 2" xfId="129" xr:uid="{064EEC88-8888-41B3-92B6-9D8D656DF83E}"/>
    <cellStyle name="見出し 4 3" xfId="128" xr:uid="{F1C29A9A-B1DF-4F4B-A160-A12F764678CD}"/>
    <cellStyle name="集計 2" xfId="130" xr:uid="{6EEA99F1-B7B9-4633-9ADD-87F57DFF27A7}"/>
    <cellStyle name="集計 3" xfId="131" xr:uid="{CB4C47B2-3019-41D6-96D4-55EB23DD4ACA}"/>
    <cellStyle name="集計 3 2" xfId="132" xr:uid="{0178837F-AA5A-4875-AC06-3E912F766721}"/>
    <cellStyle name="出力 2" xfId="133" xr:uid="{449AED22-7512-4520-BC22-BAFBCEA41B33}"/>
    <cellStyle name="出力 3" xfId="134" xr:uid="{1AF32937-F50D-437D-A51A-583119DD26D5}"/>
    <cellStyle name="出力 3 2" xfId="135" xr:uid="{F38AAE78-B694-42F1-9B89-056490B6AC36}"/>
    <cellStyle name="説明文 2" xfId="137" xr:uid="{5EA28AF5-BC4B-4FA4-A757-517B2B5A5E96}"/>
    <cellStyle name="説明文 3" xfId="136" xr:uid="{42E43D2B-91FC-47FA-96B3-5C7E139D3807}"/>
    <cellStyle name="入力 2" xfId="138" xr:uid="{3FDF6F05-3D8A-4DEB-AE59-AA2CB3C28C18}"/>
    <cellStyle name="入力 3" xfId="139" xr:uid="{1A70D537-324C-4CA8-845A-90455AA747E7}"/>
    <cellStyle name="入力 3 2" xfId="140" xr:uid="{C023C892-B5E8-4361-A8AD-C27B5440A113}"/>
    <cellStyle name="標準" xfId="0" builtinId="0"/>
    <cellStyle name="標準 2" xfId="4" xr:uid="{BEE28F7F-3409-4F70-88A2-02FC43D791C4}"/>
    <cellStyle name="標準 3" xfId="6" xr:uid="{6E610A2D-5B24-42E4-8990-671EBABF888F}"/>
    <cellStyle name="標準 3 2" xfId="141" xr:uid="{AEB8C132-786A-492C-A7DB-AFCBD65DE8D6}"/>
    <cellStyle name="標準 3 2 2" xfId="142" xr:uid="{8EF8502A-9C0A-4113-8D1F-E26DB223321C}"/>
    <cellStyle name="標準 3 3" xfId="143" xr:uid="{80FE33BF-D9B6-4B65-8814-71CDD45DF583}"/>
    <cellStyle name="標準 3 3 2" xfId="144" xr:uid="{D41872D7-FAC1-4A5C-A2D4-9B6A1C1D456C}"/>
    <cellStyle name="標準 4" xfId="3" xr:uid="{B4B78F72-386F-42F2-8C2F-8505BE6849B5}"/>
    <cellStyle name="標準 5" xfId="5" xr:uid="{6D3746CF-9493-4ED3-98FB-54F29A191E86}"/>
    <cellStyle name="標準 6" xfId="145" xr:uid="{6E738BEB-2E88-416F-8558-B77698E72C2E}"/>
    <cellStyle name="標準 6 2" xfId="146" xr:uid="{0B287BA2-42DB-4734-AADB-BF26F4025881}"/>
    <cellStyle name="標準_Sheet1" xfId="7" xr:uid="{0D53156B-0C54-4007-88ED-A316B1669903}"/>
    <cellStyle name="良い 2" xfId="147" xr:uid="{F1342593-B68A-48B6-8874-D8F43B070C70}"/>
    <cellStyle name="良い 3" xfId="148" xr:uid="{715E747A-B92B-4D38-9EC3-27F5B6733E3D}"/>
    <cellStyle name="良い 3 2" xfId="149" xr:uid="{93990547-AB39-41F6-AB97-51D044EB60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942975</xdr:colOff>
      <xdr:row>6</xdr:row>
      <xdr:rowOff>0</xdr:rowOff>
    </xdr:to>
    <xdr:sp macro="" textlink="">
      <xdr:nvSpPr>
        <xdr:cNvPr id="2" name="Line 1">
          <a:extLst>
            <a:ext uri="{FF2B5EF4-FFF2-40B4-BE49-F238E27FC236}">
              <a16:creationId xmlns:a16="http://schemas.microsoft.com/office/drawing/2014/main" id="{B26C4EBA-240E-48D3-BB14-D3A020A3FF65}"/>
            </a:ext>
          </a:extLst>
        </xdr:cNvPr>
        <xdr:cNvSpPr>
          <a:spLocks noChangeShapeType="1"/>
        </xdr:cNvSpPr>
      </xdr:nvSpPr>
      <xdr:spPr bwMode="auto">
        <a:xfrm>
          <a:off x="0" y="381000"/>
          <a:ext cx="942975" cy="8286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4" name="Line 5">
          <a:extLst>
            <a:ext uri="{FF2B5EF4-FFF2-40B4-BE49-F238E27FC236}">
              <a16:creationId xmlns:a16="http://schemas.microsoft.com/office/drawing/2014/main" id="{A6652A25-2123-4721-AFEA-64368936B374}"/>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xdr:row>
      <xdr:rowOff>9525</xdr:rowOff>
    </xdr:from>
    <xdr:to>
      <xdr:col>30</xdr:col>
      <xdr:colOff>0</xdr:colOff>
      <xdr:row>5</xdr:row>
      <xdr:rowOff>0</xdr:rowOff>
    </xdr:to>
    <xdr:sp macro="" textlink="">
      <xdr:nvSpPr>
        <xdr:cNvPr id="5" name="Line 7">
          <a:extLst>
            <a:ext uri="{FF2B5EF4-FFF2-40B4-BE49-F238E27FC236}">
              <a16:creationId xmlns:a16="http://schemas.microsoft.com/office/drawing/2014/main" id="{09598FA9-82EB-4F48-B9A0-97D1ED6D7600}"/>
            </a:ext>
          </a:extLst>
        </xdr:cNvPr>
        <xdr:cNvSpPr>
          <a:spLocks noChangeShapeType="1"/>
        </xdr:cNvSpPr>
      </xdr:nvSpPr>
      <xdr:spPr bwMode="auto">
        <a:xfrm>
          <a:off x="31584900" y="381000"/>
          <a:ext cx="0" cy="6191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962025</xdr:colOff>
      <xdr:row>6</xdr:row>
      <xdr:rowOff>0</xdr:rowOff>
    </xdr:to>
    <xdr:sp macro="" textlink="">
      <xdr:nvSpPr>
        <xdr:cNvPr id="2" name="Line 1">
          <a:extLst>
            <a:ext uri="{FF2B5EF4-FFF2-40B4-BE49-F238E27FC236}">
              <a16:creationId xmlns:a16="http://schemas.microsoft.com/office/drawing/2014/main" id="{3A1A4C86-3D0A-4143-8A61-14CF48045904}"/>
            </a:ext>
          </a:extLst>
        </xdr:cNvPr>
        <xdr:cNvSpPr>
          <a:spLocks noChangeShapeType="1"/>
        </xdr:cNvSpPr>
      </xdr:nvSpPr>
      <xdr:spPr bwMode="auto">
        <a:xfrm>
          <a:off x="0" y="495300"/>
          <a:ext cx="962025" cy="904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2</xdr:row>
      <xdr:rowOff>38100</xdr:rowOff>
    </xdr:from>
    <xdr:to>
      <xdr:col>1</xdr:col>
      <xdr:colOff>9525</xdr:colOff>
      <xdr:row>6</xdr:row>
      <xdr:rowOff>0</xdr:rowOff>
    </xdr:to>
    <xdr:sp macro="" textlink="">
      <xdr:nvSpPr>
        <xdr:cNvPr id="2" name="Line 1">
          <a:extLst>
            <a:ext uri="{FF2B5EF4-FFF2-40B4-BE49-F238E27FC236}">
              <a16:creationId xmlns:a16="http://schemas.microsoft.com/office/drawing/2014/main" id="{4EC6C206-0DC5-480E-B4C0-D18E0D097175}"/>
            </a:ext>
          </a:extLst>
        </xdr:cNvPr>
        <xdr:cNvSpPr>
          <a:spLocks noChangeShapeType="1"/>
        </xdr:cNvSpPr>
      </xdr:nvSpPr>
      <xdr:spPr bwMode="auto">
        <a:xfrm>
          <a:off x="38100" y="53340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28575</xdr:rowOff>
    </xdr:to>
    <xdr:sp macro="" textlink="">
      <xdr:nvSpPr>
        <xdr:cNvPr id="2" name="Line 1">
          <a:extLst>
            <a:ext uri="{FF2B5EF4-FFF2-40B4-BE49-F238E27FC236}">
              <a16:creationId xmlns:a16="http://schemas.microsoft.com/office/drawing/2014/main" id="{C21459E2-C64C-475D-A648-6D1293C28BCB}"/>
            </a:ext>
          </a:extLst>
        </xdr:cNvPr>
        <xdr:cNvSpPr>
          <a:spLocks noChangeShapeType="1"/>
        </xdr:cNvSpPr>
      </xdr:nvSpPr>
      <xdr:spPr bwMode="auto">
        <a:xfrm>
          <a:off x="0" y="504825"/>
          <a:ext cx="1057275"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0</xdr:colOff>
      <xdr:row>5</xdr:row>
      <xdr:rowOff>0</xdr:rowOff>
    </xdr:to>
    <xdr:sp macro="" textlink="">
      <xdr:nvSpPr>
        <xdr:cNvPr id="2" name="Line 2">
          <a:extLst>
            <a:ext uri="{FF2B5EF4-FFF2-40B4-BE49-F238E27FC236}">
              <a16:creationId xmlns:a16="http://schemas.microsoft.com/office/drawing/2014/main" id="{81054B0D-9A34-4587-8BCD-2FE32D8B803B}"/>
            </a:ext>
          </a:extLst>
        </xdr:cNvPr>
        <xdr:cNvSpPr>
          <a:spLocks noChangeShapeType="1"/>
        </xdr:cNvSpPr>
      </xdr:nvSpPr>
      <xdr:spPr bwMode="auto">
        <a:xfrm>
          <a:off x="0" y="485775"/>
          <a:ext cx="0" cy="6477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9525</xdr:colOff>
      <xdr:row>6</xdr:row>
      <xdr:rowOff>0</xdr:rowOff>
    </xdr:to>
    <xdr:sp macro="" textlink="">
      <xdr:nvSpPr>
        <xdr:cNvPr id="3" name="Line 5">
          <a:extLst>
            <a:ext uri="{FF2B5EF4-FFF2-40B4-BE49-F238E27FC236}">
              <a16:creationId xmlns:a16="http://schemas.microsoft.com/office/drawing/2014/main" id="{56DC0BB4-4C6E-4E09-83DE-6A30AEFA8491}"/>
            </a:ext>
          </a:extLst>
        </xdr:cNvPr>
        <xdr:cNvSpPr>
          <a:spLocks noChangeShapeType="1"/>
        </xdr:cNvSpPr>
      </xdr:nvSpPr>
      <xdr:spPr bwMode="auto">
        <a:xfrm>
          <a:off x="19050" y="495300"/>
          <a:ext cx="9429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xdr:row>
      <xdr:rowOff>19050</xdr:rowOff>
    </xdr:from>
    <xdr:to>
      <xdr:col>11</xdr:col>
      <xdr:colOff>9525</xdr:colOff>
      <xdr:row>6</xdr:row>
      <xdr:rowOff>0</xdr:rowOff>
    </xdr:to>
    <xdr:sp macro="" textlink="">
      <xdr:nvSpPr>
        <xdr:cNvPr id="4" name="Line 5">
          <a:extLst>
            <a:ext uri="{FF2B5EF4-FFF2-40B4-BE49-F238E27FC236}">
              <a16:creationId xmlns:a16="http://schemas.microsoft.com/office/drawing/2014/main" id="{90859836-77AF-458B-BAAD-45DB2943C8CB}"/>
            </a:ext>
          </a:extLst>
        </xdr:cNvPr>
        <xdr:cNvSpPr>
          <a:spLocks noChangeShapeType="1"/>
        </xdr:cNvSpPr>
      </xdr:nvSpPr>
      <xdr:spPr bwMode="auto">
        <a:xfrm>
          <a:off x="9601200" y="495300"/>
          <a:ext cx="952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923925</xdr:colOff>
      <xdr:row>6</xdr:row>
      <xdr:rowOff>0</xdr:rowOff>
    </xdr:to>
    <xdr:sp macro="" textlink="">
      <xdr:nvSpPr>
        <xdr:cNvPr id="2" name="Line 52">
          <a:extLst>
            <a:ext uri="{FF2B5EF4-FFF2-40B4-BE49-F238E27FC236}">
              <a16:creationId xmlns:a16="http://schemas.microsoft.com/office/drawing/2014/main" id="{62B8A5FB-BE20-4216-9A21-B137FC135ADC}"/>
            </a:ext>
          </a:extLst>
        </xdr:cNvPr>
        <xdr:cNvSpPr>
          <a:spLocks noChangeShapeType="1"/>
        </xdr:cNvSpPr>
      </xdr:nvSpPr>
      <xdr:spPr bwMode="auto">
        <a:xfrm>
          <a:off x="0" y="485775"/>
          <a:ext cx="9239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9525</xdr:colOff>
      <xdr:row>6</xdr:row>
      <xdr:rowOff>0</xdr:rowOff>
    </xdr:to>
    <xdr:sp macro="" textlink="">
      <xdr:nvSpPr>
        <xdr:cNvPr id="2" name="Line 1">
          <a:extLst>
            <a:ext uri="{FF2B5EF4-FFF2-40B4-BE49-F238E27FC236}">
              <a16:creationId xmlns:a16="http://schemas.microsoft.com/office/drawing/2014/main" id="{551E74AE-299A-41D0-9725-476F5FD1FA21}"/>
            </a:ext>
          </a:extLst>
        </xdr:cNvPr>
        <xdr:cNvSpPr>
          <a:spLocks noChangeShapeType="1"/>
        </xdr:cNvSpPr>
      </xdr:nvSpPr>
      <xdr:spPr bwMode="auto">
        <a:xfrm>
          <a:off x="0" y="485775"/>
          <a:ext cx="971550"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2</xdr:row>
      <xdr:rowOff>38100</xdr:rowOff>
    </xdr:from>
    <xdr:to>
      <xdr:col>1</xdr:col>
      <xdr:colOff>9525</xdr:colOff>
      <xdr:row>6</xdr:row>
      <xdr:rowOff>0</xdr:rowOff>
    </xdr:to>
    <xdr:sp macro="" textlink="">
      <xdr:nvSpPr>
        <xdr:cNvPr id="2" name="Line 4">
          <a:extLst>
            <a:ext uri="{FF2B5EF4-FFF2-40B4-BE49-F238E27FC236}">
              <a16:creationId xmlns:a16="http://schemas.microsoft.com/office/drawing/2014/main" id="{EFF66749-199E-4691-8B86-9DB1C61695B8}"/>
            </a:ext>
          </a:extLst>
        </xdr:cNvPr>
        <xdr:cNvSpPr>
          <a:spLocks noChangeShapeType="1"/>
        </xdr:cNvSpPr>
      </xdr:nvSpPr>
      <xdr:spPr bwMode="auto">
        <a:xfrm>
          <a:off x="9525" y="514350"/>
          <a:ext cx="952500" cy="8382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28575</xdr:colOff>
      <xdr:row>6</xdr:row>
      <xdr:rowOff>19050</xdr:rowOff>
    </xdr:to>
    <xdr:sp macro="" textlink="">
      <xdr:nvSpPr>
        <xdr:cNvPr id="2" name="Line 3">
          <a:extLst>
            <a:ext uri="{FF2B5EF4-FFF2-40B4-BE49-F238E27FC236}">
              <a16:creationId xmlns:a16="http://schemas.microsoft.com/office/drawing/2014/main" id="{58131727-9B0A-42AA-A8DC-A7C089BBEE61}"/>
            </a:ext>
          </a:extLst>
        </xdr:cNvPr>
        <xdr:cNvSpPr>
          <a:spLocks noChangeShapeType="1"/>
        </xdr:cNvSpPr>
      </xdr:nvSpPr>
      <xdr:spPr bwMode="auto">
        <a:xfrm>
          <a:off x="9525" y="476250"/>
          <a:ext cx="971550" cy="8953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5</xdr:row>
      <xdr:rowOff>200025</xdr:rowOff>
    </xdr:to>
    <xdr:sp macro="" textlink="">
      <xdr:nvSpPr>
        <xdr:cNvPr id="2" name="Line 9">
          <a:extLst>
            <a:ext uri="{FF2B5EF4-FFF2-40B4-BE49-F238E27FC236}">
              <a16:creationId xmlns:a16="http://schemas.microsoft.com/office/drawing/2014/main" id="{07965289-769F-4B60-8CDF-1B9FFEAB7DC8}"/>
            </a:ext>
          </a:extLst>
        </xdr:cNvPr>
        <xdr:cNvSpPr>
          <a:spLocks noChangeShapeType="1"/>
        </xdr:cNvSpPr>
      </xdr:nvSpPr>
      <xdr:spPr bwMode="auto">
        <a:xfrm>
          <a:off x="0" y="476250"/>
          <a:ext cx="981075" cy="857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238125</xdr:rowOff>
    </xdr:from>
    <xdr:to>
      <xdr:col>0</xdr:col>
      <xdr:colOff>942975</xdr:colOff>
      <xdr:row>5</xdr:row>
      <xdr:rowOff>209550</xdr:rowOff>
    </xdr:to>
    <xdr:sp macro="" textlink="">
      <xdr:nvSpPr>
        <xdr:cNvPr id="2" name="Line 1">
          <a:extLst>
            <a:ext uri="{FF2B5EF4-FFF2-40B4-BE49-F238E27FC236}">
              <a16:creationId xmlns:a16="http://schemas.microsoft.com/office/drawing/2014/main" id="{5091C7FD-A609-450D-9BE0-5C638D1AC6E1}"/>
            </a:ext>
          </a:extLst>
        </xdr:cNvPr>
        <xdr:cNvSpPr>
          <a:spLocks noChangeShapeType="1"/>
        </xdr:cNvSpPr>
      </xdr:nvSpPr>
      <xdr:spPr bwMode="auto">
        <a:xfrm>
          <a:off x="0" y="476250"/>
          <a:ext cx="94297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xdr:row>
      <xdr:rowOff>28575</xdr:rowOff>
    </xdr:from>
    <xdr:to>
      <xdr:col>0</xdr:col>
      <xdr:colOff>942975</xdr:colOff>
      <xdr:row>6</xdr:row>
      <xdr:rowOff>0</xdr:rowOff>
    </xdr:to>
    <xdr:sp macro="" textlink="">
      <xdr:nvSpPr>
        <xdr:cNvPr id="2" name="Line 1">
          <a:extLst>
            <a:ext uri="{FF2B5EF4-FFF2-40B4-BE49-F238E27FC236}">
              <a16:creationId xmlns:a16="http://schemas.microsoft.com/office/drawing/2014/main" id="{D4087E3B-8FA4-4854-8BEE-E325F9C143C4}"/>
            </a:ext>
          </a:extLst>
        </xdr:cNvPr>
        <xdr:cNvSpPr>
          <a:spLocks noChangeShapeType="1"/>
        </xdr:cNvSpPr>
      </xdr:nvSpPr>
      <xdr:spPr bwMode="auto">
        <a:xfrm>
          <a:off x="0" y="504825"/>
          <a:ext cx="942975" cy="8477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2</xdr:row>
      <xdr:rowOff>9525</xdr:rowOff>
    </xdr:from>
    <xdr:to>
      <xdr:col>40</xdr:col>
      <xdr:colOff>9525</xdr:colOff>
      <xdr:row>6</xdr:row>
      <xdr:rowOff>0</xdr:rowOff>
    </xdr:to>
    <xdr:sp macro="" textlink="">
      <xdr:nvSpPr>
        <xdr:cNvPr id="3" name="Line 6">
          <a:extLst>
            <a:ext uri="{FF2B5EF4-FFF2-40B4-BE49-F238E27FC236}">
              <a16:creationId xmlns:a16="http://schemas.microsoft.com/office/drawing/2014/main" id="{1AF99733-0286-4D1D-AFDB-FCED50E98597}"/>
            </a:ext>
          </a:extLst>
        </xdr:cNvPr>
        <xdr:cNvSpPr>
          <a:spLocks noChangeShapeType="1"/>
        </xdr:cNvSpPr>
      </xdr:nvSpPr>
      <xdr:spPr bwMode="auto">
        <a:xfrm>
          <a:off x="33366075" y="485775"/>
          <a:ext cx="9525" cy="8667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6F2AB-AD49-48CD-B5CA-36F075E9DF53}">
  <dimension ref="A1:C35"/>
  <sheetViews>
    <sheetView tabSelected="1" view="pageBreakPreview" zoomScaleNormal="80" zoomScaleSheetLayoutView="100" workbookViewId="0">
      <selection activeCell="C17" sqref="C17"/>
    </sheetView>
  </sheetViews>
  <sheetFormatPr defaultRowHeight="13.2" x14ac:dyDescent="0.2"/>
  <cols>
    <col min="1" max="1" width="15.88671875" customWidth="1"/>
    <col min="2" max="2" width="57.109375" customWidth="1"/>
    <col min="3" max="3" width="15.88671875" customWidth="1"/>
    <col min="4" max="4" width="9" customWidth="1"/>
  </cols>
  <sheetData>
    <row r="1" spans="1:3" x14ac:dyDescent="0.2">
      <c r="B1" s="1"/>
    </row>
    <row r="2" spans="1:3" ht="16.2" x14ac:dyDescent="0.2">
      <c r="B2" s="2"/>
    </row>
    <row r="3" spans="1:3" x14ac:dyDescent="0.2">
      <c r="B3" s="1"/>
    </row>
    <row r="4" spans="1:3" x14ac:dyDescent="0.2">
      <c r="B4" s="1"/>
    </row>
    <row r="5" spans="1:3" x14ac:dyDescent="0.2">
      <c r="B5" s="1"/>
    </row>
    <row r="6" spans="1:3" x14ac:dyDescent="0.2">
      <c r="B6" s="1"/>
    </row>
    <row r="7" spans="1:3" x14ac:dyDescent="0.2">
      <c r="B7" s="1"/>
    </row>
    <row r="8" spans="1:3" ht="53.4" x14ac:dyDescent="0.2">
      <c r="A8" s="3"/>
      <c r="B8" s="4" t="s">
        <v>0</v>
      </c>
      <c r="C8" s="3"/>
    </row>
    <row r="9" spans="1:3" x14ac:dyDescent="0.2">
      <c r="B9" s="5"/>
    </row>
    <row r="10" spans="1:3" x14ac:dyDescent="0.2">
      <c r="B10" s="5"/>
    </row>
    <row r="11" spans="1:3" x14ac:dyDescent="0.2">
      <c r="B11" s="1"/>
    </row>
    <row r="12" spans="1:3" x14ac:dyDescent="0.2">
      <c r="B12" s="1"/>
    </row>
    <row r="13" spans="1:3" x14ac:dyDescent="0.2">
      <c r="B13" s="1"/>
    </row>
    <row r="14" spans="1:3" x14ac:dyDescent="0.2">
      <c r="B14" s="5"/>
    </row>
    <row r="15" spans="1:3" x14ac:dyDescent="0.2">
      <c r="B15" s="5"/>
    </row>
    <row r="16" spans="1:3" x14ac:dyDescent="0.2">
      <c r="B16" s="5"/>
    </row>
    <row r="17" spans="2:2" x14ac:dyDescent="0.2">
      <c r="B17" s="5"/>
    </row>
    <row r="18" spans="2:2" x14ac:dyDescent="0.2">
      <c r="B18" s="1"/>
    </row>
    <row r="19" spans="2:2" x14ac:dyDescent="0.2">
      <c r="B19" s="1"/>
    </row>
    <row r="20" spans="2:2" x14ac:dyDescent="0.2">
      <c r="B20" s="6"/>
    </row>
    <row r="21" spans="2:2" x14ac:dyDescent="0.2">
      <c r="B21" s="1"/>
    </row>
    <row r="22" spans="2:2" x14ac:dyDescent="0.2">
      <c r="B22" s="1"/>
    </row>
    <row r="23" spans="2:2" x14ac:dyDescent="0.2">
      <c r="B23" s="1"/>
    </row>
    <row r="24" spans="2:2" x14ac:dyDescent="0.2">
      <c r="B24" s="1"/>
    </row>
    <row r="25" spans="2:2" x14ac:dyDescent="0.2">
      <c r="B25" s="1"/>
    </row>
    <row r="26" spans="2:2" x14ac:dyDescent="0.2">
      <c r="B26" s="1"/>
    </row>
    <row r="27" spans="2:2" x14ac:dyDescent="0.2">
      <c r="B27" s="1418"/>
    </row>
    <row r="28" spans="2:2" ht="184.5" customHeight="1" x14ac:dyDescent="0.2">
      <c r="B28" s="1419"/>
    </row>
    <row r="29" spans="2:2" ht="84" customHeight="1" x14ac:dyDescent="0.3">
      <c r="B29" s="7">
        <v>44256</v>
      </c>
    </row>
    <row r="30" spans="2:2" ht="18" customHeight="1" x14ac:dyDescent="0.2">
      <c r="B30" s="8" t="s">
        <v>1</v>
      </c>
    </row>
    <row r="31" spans="2:2" ht="16.5" customHeight="1" x14ac:dyDescent="0.2">
      <c r="B31" s="9"/>
    </row>
    <row r="32" spans="2:2" ht="42" customHeight="1" x14ac:dyDescent="0.2">
      <c r="B32" s="10" t="s">
        <v>2</v>
      </c>
    </row>
    <row r="33" spans="2:2" ht="11.25" customHeight="1" x14ac:dyDescent="0.2">
      <c r="B33" s="10"/>
    </row>
    <row r="34" spans="2:2" ht="3" customHeight="1" x14ac:dyDescent="0.2">
      <c r="B34" s="1"/>
    </row>
    <row r="35" spans="2:2" ht="5.25" customHeight="1" x14ac:dyDescent="0.2"/>
  </sheetData>
  <mergeCells count="1">
    <mergeCell ref="B27:B28"/>
  </mergeCells>
  <phoneticPr fontId="2"/>
  <printOptions horizontalCentered="1" verticalCentered="1"/>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845A-C92B-43F9-86DA-5274EE1BAC3C}">
  <sheetPr transitionEvaluation="1"/>
  <dimension ref="A1:Z76"/>
  <sheetViews>
    <sheetView showGridLines="0" view="pageBreakPreview" zoomScale="85" zoomScaleNormal="70" zoomScaleSheetLayoutView="85" workbookViewId="0">
      <pane xSplit="1" ySplit="6" topLeftCell="B7" activePane="bottomRight" state="frozen"/>
      <selection activeCell="E12" sqref="E12"/>
      <selection pane="topRight" activeCell="E12" sqref="E12"/>
      <selection pane="bottomLeft" activeCell="E12" sqref="E12"/>
      <selection pane="bottomRight" activeCell="O66" sqref="O66"/>
    </sheetView>
  </sheetViews>
  <sheetFormatPr defaultRowHeight="13.2" x14ac:dyDescent="0.2"/>
  <cols>
    <col min="1" max="1" width="12.44140625" customWidth="1"/>
    <col min="2" max="6" width="19" customWidth="1"/>
    <col min="7" max="12" width="15.88671875" customWidth="1"/>
    <col min="13" max="15" width="19" customWidth="1"/>
    <col min="16" max="16" width="9.44140625" style="831" customWidth="1"/>
    <col min="17" max="21" width="9.44140625" customWidth="1"/>
    <col min="22" max="26" width="19" customWidth="1"/>
  </cols>
  <sheetData>
    <row r="1" spans="1:26" ht="18.75" customHeight="1" x14ac:dyDescent="0.2">
      <c r="A1" s="52" t="s">
        <v>617</v>
      </c>
      <c r="B1" s="52"/>
      <c r="E1" s="38"/>
    </row>
    <row r="2" spans="1:26" ht="18.75" customHeight="1" x14ac:dyDescent="0.2">
      <c r="A2" s="52" t="s">
        <v>618</v>
      </c>
      <c r="B2" s="832"/>
      <c r="G2" s="52"/>
    </row>
    <row r="3" spans="1:26" ht="17.25" customHeight="1" x14ac:dyDescent="0.2">
      <c r="A3" s="61" t="s">
        <v>390</v>
      </c>
      <c r="B3" s="1689" t="s">
        <v>619</v>
      </c>
      <c r="C3" s="1738" t="s">
        <v>620</v>
      </c>
      <c r="D3" s="1739" t="s">
        <v>621</v>
      </c>
      <c r="E3" s="1739" t="s">
        <v>622</v>
      </c>
      <c r="F3" s="1744" t="s">
        <v>623</v>
      </c>
      <c r="G3" s="1638" t="s">
        <v>624</v>
      </c>
      <c r="H3" s="1633" t="s">
        <v>625</v>
      </c>
      <c r="I3" s="1633" t="s">
        <v>626</v>
      </c>
      <c r="J3" s="1739" t="s">
        <v>627</v>
      </c>
      <c r="K3" s="833" t="s">
        <v>628</v>
      </c>
      <c r="L3" s="834" t="s">
        <v>629</v>
      </c>
      <c r="M3" s="1745" t="s">
        <v>630</v>
      </c>
      <c r="N3" s="1458" t="s">
        <v>631</v>
      </c>
      <c r="O3" s="1633" t="s">
        <v>632</v>
      </c>
      <c r="P3" s="1747" t="s">
        <v>633</v>
      </c>
      <c r="Q3" s="1458" t="s">
        <v>634</v>
      </c>
      <c r="R3" s="1458" t="s">
        <v>635</v>
      </c>
      <c r="S3" s="1478" t="s">
        <v>636</v>
      </c>
      <c r="T3" s="1464" t="s">
        <v>637</v>
      </c>
      <c r="U3" s="1458" t="s">
        <v>638</v>
      </c>
      <c r="V3" s="1458" t="s">
        <v>639</v>
      </c>
      <c r="W3" s="1458" t="s">
        <v>640</v>
      </c>
      <c r="X3" s="1458" t="s">
        <v>641</v>
      </c>
      <c r="Y3" s="1478" t="s">
        <v>642</v>
      </c>
      <c r="Z3" s="1478" t="s">
        <v>643</v>
      </c>
    </row>
    <row r="4" spans="1:26" ht="17.25" customHeight="1" x14ac:dyDescent="0.2">
      <c r="A4" s="69"/>
      <c r="B4" s="1736"/>
      <c r="C4" s="1711"/>
      <c r="D4" s="1740"/>
      <c r="E4" s="1742"/>
      <c r="F4" s="1470"/>
      <c r="G4" s="1639"/>
      <c r="H4" s="1634"/>
      <c r="I4" s="1634"/>
      <c r="J4" s="1740"/>
      <c r="K4" s="373" t="s">
        <v>644</v>
      </c>
      <c r="L4" s="1470" t="s">
        <v>645</v>
      </c>
      <c r="M4" s="1736"/>
      <c r="N4" s="1711"/>
      <c r="O4" s="1634"/>
      <c r="P4" s="1748"/>
      <c r="Q4" s="1711"/>
      <c r="R4" s="1711"/>
      <c r="S4" s="1479"/>
      <c r="T4" s="1451"/>
      <c r="U4" s="1711"/>
      <c r="V4" s="1711"/>
      <c r="W4" s="1711"/>
      <c r="X4" s="1711"/>
      <c r="Y4" s="1479"/>
      <c r="Z4" s="1479"/>
    </row>
    <row r="5" spans="1:26" ht="17.25" customHeight="1" x14ac:dyDescent="0.2">
      <c r="A5" s="576"/>
      <c r="B5" s="1737"/>
      <c r="C5" s="1699"/>
      <c r="D5" s="1741"/>
      <c r="E5" s="1743"/>
      <c r="F5" s="1471"/>
      <c r="G5" s="1705"/>
      <c r="H5" s="1651"/>
      <c r="I5" s="1651"/>
      <c r="J5" s="1741"/>
      <c r="K5" s="835" t="s">
        <v>646</v>
      </c>
      <c r="L5" s="1746"/>
      <c r="M5" s="1737"/>
      <c r="N5" s="1699"/>
      <c r="O5" s="1651"/>
      <c r="P5" s="1749"/>
      <c r="Q5" s="1699"/>
      <c r="R5" s="1699"/>
      <c r="S5" s="1750"/>
      <c r="T5" s="1452"/>
      <c r="U5" s="1699"/>
      <c r="V5" s="1699"/>
      <c r="W5" s="1699"/>
      <c r="X5" s="1699"/>
      <c r="Y5" s="1750"/>
      <c r="Z5" s="1750"/>
    </row>
    <row r="6" spans="1:26" ht="17.25" customHeight="1" x14ac:dyDescent="0.2">
      <c r="A6" s="91" t="s">
        <v>414</v>
      </c>
      <c r="B6" s="92" t="s">
        <v>647</v>
      </c>
      <c r="C6" s="94" t="s">
        <v>647</v>
      </c>
      <c r="D6" s="94" t="s">
        <v>647</v>
      </c>
      <c r="E6" s="94" t="s">
        <v>647</v>
      </c>
      <c r="F6" s="95" t="s">
        <v>647</v>
      </c>
      <c r="G6" s="92" t="s">
        <v>647</v>
      </c>
      <c r="H6" s="94" t="s">
        <v>647</v>
      </c>
      <c r="I6" s="94" t="s">
        <v>647</v>
      </c>
      <c r="J6" s="94" t="s">
        <v>647</v>
      </c>
      <c r="K6" s="94" t="s">
        <v>647</v>
      </c>
      <c r="L6" s="836" t="s">
        <v>648</v>
      </c>
      <c r="M6" s="92" t="s">
        <v>647</v>
      </c>
      <c r="N6" s="94" t="s">
        <v>647</v>
      </c>
      <c r="O6" s="94" t="s">
        <v>647</v>
      </c>
      <c r="P6" s="837"/>
      <c r="Q6" s="94" t="s">
        <v>131</v>
      </c>
      <c r="R6" s="94" t="s">
        <v>131</v>
      </c>
      <c r="S6" s="95" t="s">
        <v>131</v>
      </c>
      <c r="T6" s="92" t="s">
        <v>131</v>
      </c>
      <c r="U6" s="94" t="s">
        <v>131</v>
      </c>
      <c r="V6" s="94" t="s">
        <v>647</v>
      </c>
      <c r="W6" s="94" t="s">
        <v>647</v>
      </c>
      <c r="X6" s="94" t="s">
        <v>647</v>
      </c>
      <c r="Y6" s="95" t="s">
        <v>647</v>
      </c>
      <c r="Z6" s="95" t="s">
        <v>647</v>
      </c>
    </row>
    <row r="7" spans="1:26" ht="15.75" customHeight="1" x14ac:dyDescent="0.2">
      <c r="A7" s="102" t="s">
        <v>142</v>
      </c>
      <c r="B7" s="118">
        <v>137782620</v>
      </c>
      <c r="C7" s="398">
        <v>136199691</v>
      </c>
      <c r="D7" s="456">
        <v>1582929</v>
      </c>
      <c r="E7" s="398">
        <v>238291</v>
      </c>
      <c r="F7" s="111">
        <v>1344638</v>
      </c>
      <c r="G7" s="838">
        <v>874258</v>
      </c>
      <c r="H7" s="398">
        <v>221983</v>
      </c>
      <c r="I7" s="398">
        <v>73266</v>
      </c>
      <c r="J7" s="398">
        <v>0</v>
      </c>
      <c r="K7" s="805">
        <v>1169507</v>
      </c>
      <c r="L7" s="839" t="s">
        <v>649</v>
      </c>
      <c r="M7" s="118">
        <v>58499460</v>
      </c>
      <c r="N7" s="398">
        <v>27729131</v>
      </c>
      <c r="O7" s="398">
        <v>69622544</v>
      </c>
      <c r="P7" s="840">
        <v>0.47399999999999998</v>
      </c>
      <c r="Q7" s="841">
        <v>93.1</v>
      </c>
      <c r="R7" s="841">
        <v>12.6</v>
      </c>
      <c r="S7" s="743">
        <v>1.9</v>
      </c>
      <c r="T7" s="842">
        <v>7.3</v>
      </c>
      <c r="U7" s="841">
        <v>52.4</v>
      </c>
      <c r="V7" s="398">
        <v>12945424</v>
      </c>
      <c r="W7" s="398">
        <v>138050135</v>
      </c>
      <c r="X7" s="843">
        <v>70000</v>
      </c>
      <c r="Y7" s="111">
        <v>17811103</v>
      </c>
      <c r="Z7" s="111">
        <v>5670919</v>
      </c>
    </row>
    <row r="8" spans="1:26" ht="15.75" customHeight="1" x14ac:dyDescent="0.2">
      <c r="A8" s="121" t="s">
        <v>144</v>
      </c>
      <c r="B8" s="135">
        <v>160957753</v>
      </c>
      <c r="C8" s="420">
        <v>159484778</v>
      </c>
      <c r="D8" s="420">
        <f t="shared" ref="D8:D57" si="0">B8-C8</f>
        <v>1472975</v>
      </c>
      <c r="E8" s="420">
        <v>240139</v>
      </c>
      <c r="F8" s="129">
        <f t="shared" ref="F8:F57" si="1">D8-E8</f>
        <v>1232836</v>
      </c>
      <c r="G8" s="135">
        <v>287757</v>
      </c>
      <c r="H8" s="420">
        <v>5420</v>
      </c>
      <c r="I8" s="420" t="s">
        <v>143</v>
      </c>
      <c r="J8" s="420">
        <v>900000</v>
      </c>
      <c r="K8" s="420">
        <f t="shared" ref="K8:K37" si="2">SUM(G8:I8)-J8</f>
        <v>-606823</v>
      </c>
      <c r="L8" s="844" t="s">
        <v>649</v>
      </c>
      <c r="M8" s="135">
        <v>67448346</v>
      </c>
      <c r="N8" s="420">
        <v>35573360</v>
      </c>
      <c r="O8" s="420">
        <v>81435063</v>
      </c>
      <c r="P8" s="845">
        <v>0.53200000000000003</v>
      </c>
      <c r="Q8" s="751">
        <v>94.9</v>
      </c>
      <c r="R8" s="751">
        <v>12</v>
      </c>
      <c r="S8" s="750">
        <v>1.5</v>
      </c>
      <c r="T8" s="846">
        <v>8.4</v>
      </c>
      <c r="U8" s="751">
        <v>90.7</v>
      </c>
      <c r="V8" s="420">
        <v>10005218</v>
      </c>
      <c r="W8" s="420">
        <v>175030999</v>
      </c>
      <c r="X8" s="420" t="s">
        <v>143</v>
      </c>
      <c r="Y8" s="129">
        <v>33425107</v>
      </c>
      <c r="Z8" s="129">
        <v>3771610</v>
      </c>
    </row>
    <row r="9" spans="1:26" ht="15.75" customHeight="1" x14ac:dyDescent="0.2">
      <c r="A9" s="102" t="s">
        <v>145</v>
      </c>
      <c r="B9" s="145">
        <v>128491931</v>
      </c>
      <c r="C9" s="397">
        <v>125315169</v>
      </c>
      <c r="D9" s="456">
        <f t="shared" si="0"/>
        <v>3176762</v>
      </c>
      <c r="E9" s="397">
        <v>553318</v>
      </c>
      <c r="F9" s="140">
        <f t="shared" si="1"/>
        <v>2623444</v>
      </c>
      <c r="G9" s="145">
        <v>1398375</v>
      </c>
      <c r="H9" s="397">
        <v>806</v>
      </c>
      <c r="I9" s="397">
        <v>800</v>
      </c>
      <c r="J9" s="397" t="s">
        <v>143</v>
      </c>
      <c r="K9" s="397">
        <f t="shared" ref="K9" si="3">SUM(G9:I9)-J9</f>
        <v>1399981</v>
      </c>
      <c r="L9" s="847" t="s">
        <v>649</v>
      </c>
      <c r="M9" s="145">
        <v>54278836</v>
      </c>
      <c r="N9" s="397">
        <v>30022064</v>
      </c>
      <c r="O9" s="397">
        <v>66410982</v>
      </c>
      <c r="P9" s="848">
        <v>0.56000000000000005</v>
      </c>
      <c r="Q9" s="403">
        <v>92.2</v>
      </c>
      <c r="R9" s="403">
        <v>9.3000000000000007</v>
      </c>
      <c r="S9" s="741">
        <v>4</v>
      </c>
      <c r="T9" s="849">
        <v>15</v>
      </c>
      <c r="U9" s="403">
        <v>93.6</v>
      </c>
      <c r="V9" s="397">
        <v>8285979</v>
      </c>
      <c r="W9" s="397">
        <v>136924899</v>
      </c>
      <c r="X9" s="397">
        <v>240000</v>
      </c>
      <c r="Y9" s="140">
        <v>29598695</v>
      </c>
      <c r="Z9" s="140">
        <v>2777255</v>
      </c>
    </row>
    <row r="10" spans="1:26" ht="15.75" customHeight="1" x14ac:dyDescent="0.2">
      <c r="A10" s="121" t="s">
        <v>147</v>
      </c>
      <c r="B10" s="135">
        <v>110826187</v>
      </c>
      <c r="C10" s="420">
        <v>106808670</v>
      </c>
      <c r="D10" s="420">
        <f t="shared" si="0"/>
        <v>4017517</v>
      </c>
      <c r="E10" s="420">
        <v>2012106</v>
      </c>
      <c r="F10" s="129">
        <f t="shared" si="1"/>
        <v>2005411</v>
      </c>
      <c r="G10" s="135">
        <v>-237219</v>
      </c>
      <c r="H10" s="420">
        <v>1331251</v>
      </c>
      <c r="I10" s="420" t="s">
        <v>143</v>
      </c>
      <c r="J10" s="420">
        <v>1200000</v>
      </c>
      <c r="K10" s="420">
        <f t="shared" ref="K10" si="4">SUM(G10:I10)-J10</f>
        <v>-105968</v>
      </c>
      <c r="L10" s="844" t="s">
        <v>649</v>
      </c>
      <c r="M10" s="135">
        <v>40747120</v>
      </c>
      <c r="N10" s="420">
        <v>27103484</v>
      </c>
      <c r="O10" s="420">
        <v>51907475</v>
      </c>
      <c r="P10" s="845">
        <v>0.67</v>
      </c>
      <c r="Q10" s="423">
        <v>92.1</v>
      </c>
      <c r="R10" s="423">
        <v>9.1999999999999993</v>
      </c>
      <c r="S10" s="745">
        <v>3.9</v>
      </c>
      <c r="T10" s="850">
        <v>9.8000000000000007</v>
      </c>
      <c r="U10" s="423">
        <v>127.4</v>
      </c>
      <c r="V10" s="420">
        <v>13743573</v>
      </c>
      <c r="W10" s="421">
        <v>118143978</v>
      </c>
      <c r="X10" s="420" t="s">
        <v>143</v>
      </c>
      <c r="Y10" s="129">
        <v>13285842</v>
      </c>
      <c r="Z10" s="129">
        <v>2822156</v>
      </c>
    </row>
    <row r="11" spans="1:26" ht="15.75" customHeight="1" x14ac:dyDescent="0.2">
      <c r="A11" s="102" t="s">
        <v>148</v>
      </c>
      <c r="B11" s="183">
        <v>116955668</v>
      </c>
      <c r="C11" s="456">
        <v>115998661</v>
      </c>
      <c r="D11" s="456">
        <f t="shared" si="0"/>
        <v>957007</v>
      </c>
      <c r="E11" s="456">
        <v>545726</v>
      </c>
      <c r="F11" s="140">
        <f t="shared" si="1"/>
        <v>411281</v>
      </c>
      <c r="G11" s="183">
        <v>-618804</v>
      </c>
      <c r="H11" s="456">
        <v>1098926</v>
      </c>
      <c r="I11" s="456" t="s">
        <v>143</v>
      </c>
      <c r="J11" s="456">
        <v>1104952</v>
      </c>
      <c r="K11" s="397">
        <f t="shared" ref="K11" si="5">SUM(G11:I11)-J11</f>
        <v>-624830</v>
      </c>
      <c r="L11" s="851" t="s">
        <v>649</v>
      </c>
      <c r="M11" s="183">
        <v>48966122</v>
      </c>
      <c r="N11" s="456">
        <v>36725443</v>
      </c>
      <c r="O11" s="456">
        <v>63970173</v>
      </c>
      <c r="P11" s="852">
        <v>0.75</v>
      </c>
      <c r="Q11" s="178">
        <v>96.3</v>
      </c>
      <c r="R11" s="178">
        <v>12.8</v>
      </c>
      <c r="S11" s="749">
        <v>0.6</v>
      </c>
      <c r="T11" s="853">
        <v>9.5</v>
      </c>
      <c r="U11" s="178">
        <v>63</v>
      </c>
      <c r="V11" s="456">
        <v>12976885</v>
      </c>
      <c r="W11" s="457">
        <v>133374073</v>
      </c>
      <c r="X11" s="456" t="s">
        <v>143</v>
      </c>
      <c r="Y11" s="197">
        <v>65249079</v>
      </c>
      <c r="Z11" s="197">
        <v>7726863</v>
      </c>
    </row>
    <row r="12" spans="1:26" ht="15.75" customHeight="1" x14ac:dyDescent="0.2">
      <c r="A12" s="121" t="s">
        <v>149</v>
      </c>
      <c r="B12" s="135">
        <v>137573901</v>
      </c>
      <c r="C12" s="420">
        <v>134804136</v>
      </c>
      <c r="D12" s="420">
        <v>2769765</v>
      </c>
      <c r="E12" s="420">
        <v>1047884</v>
      </c>
      <c r="F12" s="129">
        <v>1721881</v>
      </c>
      <c r="G12" s="135">
        <v>11216</v>
      </c>
      <c r="H12" s="420">
        <v>717793</v>
      </c>
      <c r="I12" s="420">
        <v>700</v>
      </c>
      <c r="J12" s="420">
        <v>978403</v>
      </c>
      <c r="K12" s="420">
        <v>-248694</v>
      </c>
      <c r="L12" s="844" t="s">
        <v>649</v>
      </c>
      <c r="M12" s="135">
        <v>56498440</v>
      </c>
      <c r="N12" s="420">
        <v>37304574</v>
      </c>
      <c r="O12" s="420">
        <v>71645893</v>
      </c>
      <c r="P12" s="845">
        <v>0.66900000000000004</v>
      </c>
      <c r="Q12" s="423">
        <v>91.9</v>
      </c>
      <c r="R12" s="423">
        <v>15.8</v>
      </c>
      <c r="S12" s="745">
        <v>2.4</v>
      </c>
      <c r="T12" s="850">
        <v>9.3000000000000007</v>
      </c>
      <c r="U12" s="423">
        <v>72.2</v>
      </c>
      <c r="V12" s="420">
        <v>15912900</v>
      </c>
      <c r="W12" s="421">
        <v>135991679</v>
      </c>
      <c r="X12" s="854" t="s">
        <v>143</v>
      </c>
      <c r="Y12" s="129">
        <v>28546378</v>
      </c>
      <c r="Z12" s="129">
        <v>4087773</v>
      </c>
    </row>
    <row r="13" spans="1:26" ht="15.75" customHeight="1" x14ac:dyDescent="0.2">
      <c r="A13" s="169" t="s">
        <v>150</v>
      </c>
      <c r="B13" s="145">
        <v>101031577</v>
      </c>
      <c r="C13" s="397">
        <v>98187145</v>
      </c>
      <c r="D13" s="456">
        <f t="shared" si="0"/>
        <v>2844432</v>
      </c>
      <c r="E13" s="397">
        <v>844115</v>
      </c>
      <c r="F13" s="140">
        <f t="shared" si="1"/>
        <v>2000317</v>
      </c>
      <c r="G13" s="145">
        <v>492230</v>
      </c>
      <c r="H13" s="397">
        <v>1566546</v>
      </c>
      <c r="I13" s="397" t="s">
        <v>143</v>
      </c>
      <c r="J13" s="397">
        <v>1566750</v>
      </c>
      <c r="K13" s="397">
        <f t="shared" si="2"/>
        <v>492026</v>
      </c>
      <c r="L13" s="847" t="s">
        <v>649</v>
      </c>
      <c r="M13" s="145">
        <v>39510882</v>
      </c>
      <c r="N13" s="397">
        <v>30354728</v>
      </c>
      <c r="O13" s="397">
        <v>51968178</v>
      </c>
      <c r="P13" s="848">
        <v>0.78</v>
      </c>
      <c r="Q13" s="403">
        <v>91.6</v>
      </c>
      <c r="R13" s="403">
        <v>14.7</v>
      </c>
      <c r="S13" s="741">
        <v>3.8</v>
      </c>
      <c r="T13" s="849">
        <v>7.9</v>
      </c>
      <c r="U13" s="403">
        <v>88</v>
      </c>
      <c r="V13" s="397">
        <v>5772009</v>
      </c>
      <c r="W13" s="397">
        <v>102671129</v>
      </c>
      <c r="X13" s="397" t="s">
        <v>143</v>
      </c>
      <c r="Y13" s="140">
        <v>40006850</v>
      </c>
      <c r="Z13" s="140">
        <v>3472402</v>
      </c>
    </row>
    <row r="14" spans="1:26" ht="15.75" customHeight="1" x14ac:dyDescent="0.2">
      <c r="A14" s="121" t="s">
        <v>151</v>
      </c>
      <c r="B14" s="135">
        <v>126126494</v>
      </c>
      <c r="C14" s="420">
        <v>119718262</v>
      </c>
      <c r="D14" s="420">
        <f t="shared" si="0"/>
        <v>6408232</v>
      </c>
      <c r="E14" s="420">
        <v>1289577</v>
      </c>
      <c r="F14" s="129">
        <f t="shared" si="1"/>
        <v>5118655</v>
      </c>
      <c r="G14" s="135">
        <v>298589</v>
      </c>
      <c r="H14" s="420">
        <v>1949047</v>
      </c>
      <c r="I14" s="420">
        <v>21434</v>
      </c>
      <c r="J14" s="420">
        <v>2400000</v>
      </c>
      <c r="K14" s="420">
        <f t="shared" si="2"/>
        <v>-130930</v>
      </c>
      <c r="L14" s="844" t="s">
        <v>649</v>
      </c>
      <c r="M14" s="135">
        <v>44760236</v>
      </c>
      <c r="N14" s="420">
        <v>34960484</v>
      </c>
      <c r="O14" s="420">
        <v>58596763</v>
      </c>
      <c r="P14" s="845">
        <v>0.78200000000000003</v>
      </c>
      <c r="Q14" s="423">
        <v>89.4</v>
      </c>
      <c r="R14" s="423">
        <v>14</v>
      </c>
      <c r="S14" s="745">
        <v>8.6999999999999993</v>
      </c>
      <c r="T14" s="850">
        <v>1.2</v>
      </c>
      <c r="U14" s="423">
        <v>14.3</v>
      </c>
      <c r="V14" s="420">
        <v>20160648</v>
      </c>
      <c r="W14" s="421">
        <v>89757947</v>
      </c>
      <c r="X14" s="420" t="s">
        <v>143</v>
      </c>
      <c r="Y14" s="129">
        <v>14304581</v>
      </c>
      <c r="Z14" s="129">
        <v>6560845</v>
      </c>
    </row>
    <row r="15" spans="1:26" ht="15.75" customHeight="1" x14ac:dyDescent="0.2">
      <c r="A15" s="169" t="s">
        <v>153</v>
      </c>
      <c r="B15" s="183">
        <v>142485125</v>
      </c>
      <c r="C15" s="456">
        <v>136047622</v>
      </c>
      <c r="D15" s="456">
        <f t="shared" si="0"/>
        <v>6437503</v>
      </c>
      <c r="E15" s="456">
        <v>1995958</v>
      </c>
      <c r="F15" s="140">
        <f t="shared" si="1"/>
        <v>4441545</v>
      </c>
      <c r="G15" s="183">
        <v>456075</v>
      </c>
      <c r="H15" s="456">
        <v>5870091</v>
      </c>
      <c r="I15" s="456">
        <v>0</v>
      </c>
      <c r="J15" s="456">
        <v>8460000</v>
      </c>
      <c r="K15" s="397">
        <f t="shared" si="2"/>
        <v>-2133834</v>
      </c>
      <c r="L15" s="851" t="s">
        <v>649</v>
      </c>
      <c r="M15" s="183">
        <v>52149588</v>
      </c>
      <c r="N15" s="456">
        <v>56995627</v>
      </c>
      <c r="O15" s="456">
        <v>68572944</v>
      </c>
      <c r="P15" s="852">
        <v>0.83799999999999997</v>
      </c>
      <c r="Q15" s="178">
        <v>88.4</v>
      </c>
      <c r="R15" s="178">
        <v>20.3</v>
      </c>
      <c r="S15" s="749">
        <v>6.5</v>
      </c>
      <c r="T15" s="853">
        <v>4.3</v>
      </c>
      <c r="U15" s="403" t="s">
        <v>143</v>
      </c>
      <c r="V15" s="456">
        <v>21090303</v>
      </c>
      <c r="W15" s="457">
        <v>80881494</v>
      </c>
      <c r="X15" s="456">
        <v>0</v>
      </c>
      <c r="Y15" s="197">
        <v>13047663</v>
      </c>
      <c r="Z15" s="197">
        <v>10930649</v>
      </c>
    </row>
    <row r="16" spans="1:26" ht="15.75" customHeight="1" x14ac:dyDescent="0.2">
      <c r="A16" s="121" t="s">
        <v>154</v>
      </c>
      <c r="B16" s="135">
        <v>163782406</v>
      </c>
      <c r="C16" s="420">
        <v>156628108</v>
      </c>
      <c r="D16" s="420">
        <f t="shared" si="0"/>
        <v>7154298</v>
      </c>
      <c r="E16" s="420">
        <v>5725791</v>
      </c>
      <c r="F16" s="129">
        <f t="shared" si="1"/>
        <v>1428507</v>
      </c>
      <c r="G16" s="135">
        <v>-3121132</v>
      </c>
      <c r="H16" s="420">
        <v>5936112</v>
      </c>
      <c r="I16" s="420">
        <v>4293368</v>
      </c>
      <c r="J16" s="420">
        <v>8141987</v>
      </c>
      <c r="K16" s="420">
        <f t="shared" si="2"/>
        <v>-1033639</v>
      </c>
      <c r="L16" s="844" t="s">
        <v>649</v>
      </c>
      <c r="M16" s="135">
        <v>56977019</v>
      </c>
      <c r="N16" s="420">
        <v>45302170</v>
      </c>
      <c r="O16" s="420">
        <v>74986266</v>
      </c>
      <c r="P16" s="845">
        <v>0.79500000000000004</v>
      </c>
      <c r="Q16" s="423">
        <v>86.6</v>
      </c>
      <c r="R16" s="423">
        <v>12.4</v>
      </c>
      <c r="S16" s="745">
        <v>1.9</v>
      </c>
      <c r="T16" s="850">
        <v>7</v>
      </c>
      <c r="U16" s="423">
        <v>22.3</v>
      </c>
      <c r="V16" s="420">
        <v>44698385</v>
      </c>
      <c r="W16" s="421">
        <v>123938143</v>
      </c>
      <c r="X16" s="420">
        <v>316515</v>
      </c>
      <c r="Y16" s="129">
        <v>8882117</v>
      </c>
      <c r="Z16" s="129">
        <v>7690173</v>
      </c>
    </row>
    <row r="17" spans="1:26" ht="15.75" customHeight="1" x14ac:dyDescent="0.2">
      <c r="A17" s="169" t="s">
        <v>155</v>
      </c>
      <c r="B17" s="183">
        <v>130683301</v>
      </c>
      <c r="C17" s="456">
        <v>125053445</v>
      </c>
      <c r="D17" s="456">
        <f t="shared" si="0"/>
        <v>5629856</v>
      </c>
      <c r="E17" s="456">
        <v>2537977</v>
      </c>
      <c r="F17" s="197">
        <f t="shared" si="1"/>
        <v>3091879</v>
      </c>
      <c r="G17" s="183">
        <v>29727</v>
      </c>
      <c r="H17" s="456">
        <v>1542860</v>
      </c>
      <c r="I17" s="456" t="s">
        <v>143</v>
      </c>
      <c r="J17" s="456">
        <v>4658332</v>
      </c>
      <c r="K17" s="456">
        <f t="shared" si="2"/>
        <v>-3085745</v>
      </c>
      <c r="L17" s="851" t="s">
        <v>649</v>
      </c>
      <c r="M17" s="183">
        <v>41910680</v>
      </c>
      <c r="N17" s="456">
        <v>35926720</v>
      </c>
      <c r="O17" s="456">
        <v>56364956</v>
      </c>
      <c r="P17" s="852">
        <v>0.86</v>
      </c>
      <c r="Q17" s="178">
        <v>96.9</v>
      </c>
      <c r="R17" s="178">
        <v>13.7</v>
      </c>
      <c r="S17" s="749">
        <v>5.5</v>
      </c>
      <c r="T17" s="853">
        <v>9.5</v>
      </c>
      <c r="U17" s="178">
        <v>132.4</v>
      </c>
      <c r="V17" s="456">
        <v>3338396</v>
      </c>
      <c r="W17" s="457">
        <v>124886204</v>
      </c>
      <c r="X17" s="456" t="s">
        <v>143</v>
      </c>
      <c r="Y17" s="197">
        <v>33518229</v>
      </c>
      <c r="Z17" s="197">
        <v>2701498</v>
      </c>
    </row>
    <row r="18" spans="1:26" ht="15.75" customHeight="1" x14ac:dyDescent="0.2">
      <c r="A18" s="121" t="s">
        <v>157</v>
      </c>
      <c r="B18" s="135">
        <v>223160193</v>
      </c>
      <c r="C18" s="420">
        <v>218569816</v>
      </c>
      <c r="D18" s="420">
        <f>B18-C18</f>
        <v>4590377</v>
      </c>
      <c r="E18" s="420">
        <v>3269467</v>
      </c>
      <c r="F18" s="129">
        <f t="shared" si="1"/>
        <v>1320910</v>
      </c>
      <c r="G18" s="135">
        <v>50219</v>
      </c>
      <c r="H18" s="420">
        <v>6009</v>
      </c>
      <c r="I18" s="420" t="s">
        <v>143</v>
      </c>
      <c r="J18" s="420">
        <v>3700000</v>
      </c>
      <c r="K18" s="420">
        <f t="shared" si="2"/>
        <v>-3643772</v>
      </c>
      <c r="L18" s="844" t="s">
        <v>649</v>
      </c>
      <c r="M18" s="135">
        <v>77376541</v>
      </c>
      <c r="N18" s="420">
        <v>76276433</v>
      </c>
      <c r="O18" s="420">
        <v>102021064</v>
      </c>
      <c r="P18" s="845">
        <v>0.98799999999999999</v>
      </c>
      <c r="Q18" s="423">
        <v>94</v>
      </c>
      <c r="R18" s="423">
        <v>13.7</v>
      </c>
      <c r="S18" s="745">
        <v>1.3</v>
      </c>
      <c r="T18" s="850">
        <v>5.3</v>
      </c>
      <c r="U18" s="423">
        <v>0</v>
      </c>
      <c r="V18" s="420">
        <v>38539692</v>
      </c>
      <c r="W18" s="421">
        <v>108885708</v>
      </c>
      <c r="X18" s="420">
        <v>200000</v>
      </c>
      <c r="Y18" s="129">
        <v>43213716</v>
      </c>
      <c r="Z18" s="129">
        <v>14557137</v>
      </c>
    </row>
    <row r="19" spans="1:26" ht="15.75" customHeight="1" x14ac:dyDescent="0.2">
      <c r="A19" s="169" t="s">
        <v>158</v>
      </c>
      <c r="B19" s="183">
        <v>141967660</v>
      </c>
      <c r="C19" s="456">
        <v>138933088</v>
      </c>
      <c r="D19" s="456">
        <f t="shared" si="0"/>
        <v>3034572</v>
      </c>
      <c r="E19" s="456">
        <v>912544</v>
      </c>
      <c r="F19" s="197">
        <f t="shared" si="1"/>
        <v>2122028</v>
      </c>
      <c r="G19" s="183">
        <v>-430265</v>
      </c>
      <c r="H19" s="456">
        <v>2531</v>
      </c>
      <c r="I19" s="456">
        <v>0</v>
      </c>
      <c r="J19" s="456">
        <v>1505170</v>
      </c>
      <c r="K19" s="456">
        <f t="shared" si="2"/>
        <v>-1932904</v>
      </c>
      <c r="L19" s="851" t="s">
        <v>649</v>
      </c>
      <c r="M19" s="183">
        <v>56766336</v>
      </c>
      <c r="N19" s="456">
        <v>46213733</v>
      </c>
      <c r="O19" s="456">
        <v>75828522</v>
      </c>
      <c r="P19" s="852">
        <v>0.82099999999999995</v>
      </c>
      <c r="Q19" s="178">
        <v>97.9</v>
      </c>
      <c r="R19" s="178">
        <v>14.8</v>
      </c>
      <c r="S19" s="749">
        <v>2.8</v>
      </c>
      <c r="T19" s="853">
        <v>7.9</v>
      </c>
      <c r="U19" s="178">
        <v>66.599999999999994</v>
      </c>
      <c r="V19" s="456">
        <v>9153724</v>
      </c>
      <c r="W19" s="457">
        <v>154018530</v>
      </c>
      <c r="X19" s="456">
        <v>200000</v>
      </c>
      <c r="Y19" s="197">
        <v>16991618</v>
      </c>
      <c r="Z19" s="197">
        <v>6068463</v>
      </c>
    </row>
    <row r="20" spans="1:26" ht="15.75" customHeight="1" x14ac:dyDescent="0.2">
      <c r="A20" s="121" t="s">
        <v>159</v>
      </c>
      <c r="B20" s="135">
        <v>168605667</v>
      </c>
      <c r="C20" s="420">
        <v>164220833</v>
      </c>
      <c r="D20" s="420">
        <f t="shared" si="0"/>
        <v>4384834</v>
      </c>
      <c r="E20" s="420">
        <v>710530</v>
      </c>
      <c r="F20" s="129">
        <f t="shared" si="1"/>
        <v>3674304</v>
      </c>
      <c r="G20" s="135">
        <v>-622271</v>
      </c>
      <c r="H20" s="420">
        <v>9676</v>
      </c>
      <c r="I20" s="420" t="s">
        <v>143</v>
      </c>
      <c r="J20" s="420">
        <v>5529948</v>
      </c>
      <c r="K20" s="420">
        <f t="shared" si="2"/>
        <v>-6142543</v>
      </c>
      <c r="L20" s="844" t="s">
        <v>649</v>
      </c>
      <c r="M20" s="135">
        <v>61429071</v>
      </c>
      <c r="N20" s="420">
        <v>52370495</v>
      </c>
      <c r="O20" s="420">
        <v>82933122</v>
      </c>
      <c r="P20" s="845">
        <v>0.85699999999999998</v>
      </c>
      <c r="Q20" s="423">
        <v>95.6</v>
      </c>
      <c r="R20" s="423">
        <v>12.5</v>
      </c>
      <c r="S20" s="745">
        <v>4.4000000000000004</v>
      </c>
      <c r="T20" s="850">
        <v>5.5</v>
      </c>
      <c r="U20" s="423">
        <v>47.6</v>
      </c>
      <c r="V20" s="420">
        <v>10889313</v>
      </c>
      <c r="W20" s="421">
        <v>152950244</v>
      </c>
      <c r="X20" s="420" t="s">
        <v>143</v>
      </c>
      <c r="Y20" s="129">
        <v>20836629</v>
      </c>
      <c r="Z20" s="129">
        <v>4410081</v>
      </c>
    </row>
    <row r="21" spans="1:26" ht="15.75" customHeight="1" x14ac:dyDescent="0.2">
      <c r="A21" s="169" t="s">
        <v>163</v>
      </c>
      <c r="B21" s="145">
        <v>112570261</v>
      </c>
      <c r="C21" s="397">
        <v>109094781</v>
      </c>
      <c r="D21" s="456">
        <v>3475480</v>
      </c>
      <c r="E21" s="397">
        <v>175547</v>
      </c>
      <c r="F21" s="197">
        <v>3299933</v>
      </c>
      <c r="G21" s="145">
        <v>410168</v>
      </c>
      <c r="H21" s="397">
        <v>1059</v>
      </c>
      <c r="I21" s="397">
        <v>0</v>
      </c>
      <c r="J21" s="397">
        <v>1159530</v>
      </c>
      <c r="K21" s="397">
        <v>-748303</v>
      </c>
      <c r="L21" s="847" t="s">
        <v>649</v>
      </c>
      <c r="M21" s="145">
        <v>48253102</v>
      </c>
      <c r="N21" s="397">
        <v>46849373</v>
      </c>
      <c r="O21" s="397">
        <v>64006993</v>
      </c>
      <c r="P21" s="848">
        <v>0.97499999999999998</v>
      </c>
      <c r="Q21" s="403">
        <v>99.8</v>
      </c>
      <c r="R21" s="403">
        <v>16.899999999999999</v>
      </c>
      <c r="S21" s="741">
        <v>5.2</v>
      </c>
      <c r="T21" s="849">
        <v>5.7</v>
      </c>
      <c r="U21" s="403">
        <v>68.900000000000006</v>
      </c>
      <c r="V21" s="397">
        <v>6684630</v>
      </c>
      <c r="W21" s="397">
        <v>100526746</v>
      </c>
      <c r="X21" s="397" t="s">
        <v>143</v>
      </c>
      <c r="Y21" s="140">
        <v>24682720</v>
      </c>
      <c r="Z21" s="140">
        <v>2748811</v>
      </c>
    </row>
    <row r="22" spans="1:26" ht="15.75" customHeight="1" x14ac:dyDescent="0.2">
      <c r="A22" s="121" t="s">
        <v>166</v>
      </c>
      <c r="B22" s="135">
        <v>213602795</v>
      </c>
      <c r="C22" s="420">
        <v>203864761</v>
      </c>
      <c r="D22" s="420">
        <f t="shared" ref="D22" si="6">B22-C22</f>
        <v>9738034</v>
      </c>
      <c r="E22" s="420">
        <v>2199459</v>
      </c>
      <c r="F22" s="129">
        <f t="shared" ref="F22" si="7">D22-E22</f>
        <v>7538575</v>
      </c>
      <c r="G22" s="135">
        <v>-372603</v>
      </c>
      <c r="H22" s="420">
        <v>1443877</v>
      </c>
      <c r="I22" s="420" t="s">
        <v>143</v>
      </c>
      <c r="J22" s="420" t="s">
        <v>143</v>
      </c>
      <c r="K22" s="420">
        <f t="shared" ref="K22" si="8">SUM(G22:I22)-J22</f>
        <v>1071274</v>
      </c>
      <c r="L22" s="844" t="s">
        <v>649</v>
      </c>
      <c r="M22" s="135">
        <v>80320703</v>
      </c>
      <c r="N22" s="420">
        <v>77434988</v>
      </c>
      <c r="O22" s="420">
        <v>107345515</v>
      </c>
      <c r="P22" s="845">
        <v>0.96599999999999997</v>
      </c>
      <c r="Q22" s="423">
        <v>95.4</v>
      </c>
      <c r="R22" s="423">
        <v>14.3</v>
      </c>
      <c r="S22" s="745">
        <v>7</v>
      </c>
      <c r="T22" s="850">
        <v>5.8</v>
      </c>
      <c r="U22" s="423">
        <v>7.9</v>
      </c>
      <c r="V22" s="420">
        <f>15930552+5193715+23372695</f>
        <v>44496962</v>
      </c>
      <c r="W22" s="420">
        <v>168345471</v>
      </c>
      <c r="X22" s="420">
        <v>275000</v>
      </c>
      <c r="Y22" s="129">
        <v>25490808</v>
      </c>
      <c r="Z22" s="129">
        <v>15930552</v>
      </c>
    </row>
    <row r="23" spans="1:26" ht="15.75" customHeight="1" x14ac:dyDescent="0.2">
      <c r="A23" s="169" t="s">
        <v>167</v>
      </c>
      <c r="B23" s="145">
        <v>107932431</v>
      </c>
      <c r="C23" s="397">
        <v>102443939</v>
      </c>
      <c r="D23" s="456">
        <v>5488492</v>
      </c>
      <c r="E23" s="397">
        <v>198339</v>
      </c>
      <c r="F23" s="197">
        <v>5290153</v>
      </c>
      <c r="G23" s="145">
        <v>193706</v>
      </c>
      <c r="H23" s="397">
        <v>2879000</v>
      </c>
      <c r="I23" s="397" t="s">
        <v>143</v>
      </c>
      <c r="J23" s="397">
        <v>2500000</v>
      </c>
      <c r="K23" s="397">
        <v>572706</v>
      </c>
      <c r="L23" s="847" t="s">
        <v>650</v>
      </c>
      <c r="M23" s="145">
        <v>45197481</v>
      </c>
      <c r="N23" s="397">
        <v>41909986</v>
      </c>
      <c r="O23" s="397">
        <v>60718175</v>
      </c>
      <c r="P23" s="848">
        <v>0.93200000000000005</v>
      </c>
      <c r="Q23" s="403">
        <v>91</v>
      </c>
      <c r="R23" s="403">
        <v>17.3</v>
      </c>
      <c r="S23" s="741">
        <v>8.6999999999999993</v>
      </c>
      <c r="T23" s="849">
        <v>7.2</v>
      </c>
      <c r="U23" s="403">
        <v>15.2</v>
      </c>
      <c r="V23" s="397">
        <v>10131019</v>
      </c>
      <c r="W23" s="397">
        <v>77857977</v>
      </c>
      <c r="X23" s="456">
        <v>50000</v>
      </c>
      <c r="Y23" s="140">
        <v>11481306</v>
      </c>
      <c r="Z23" s="140">
        <v>6608633</v>
      </c>
    </row>
    <row r="24" spans="1:26" ht="15.75" customHeight="1" x14ac:dyDescent="0.2">
      <c r="A24" s="121" t="s">
        <v>168</v>
      </c>
      <c r="B24" s="135">
        <v>212013166</v>
      </c>
      <c r="C24" s="420">
        <v>208443725</v>
      </c>
      <c r="D24" s="420">
        <v>3569441</v>
      </c>
      <c r="E24" s="420">
        <v>898236</v>
      </c>
      <c r="F24" s="129">
        <v>2671205</v>
      </c>
      <c r="G24" s="135">
        <v>-335030</v>
      </c>
      <c r="H24" s="420">
        <v>187</v>
      </c>
      <c r="I24" s="420">
        <v>0</v>
      </c>
      <c r="J24" s="420">
        <v>3000000</v>
      </c>
      <c r="K24" s="420">
        <v>-3334843</v>
      </c>
      <c r="L24" s="844" t="s">
        <v>649</v>
      </c>
      <c r="M24" s="135">
        <v>86662101</v>
      </c>
      <c r="N24" s="420">
        <v>82864102</v>
      </c>
      <c r="O24" s="420">
        <v>115941016</v>
      </c>
      <c r="P24" s="845">
        <v>0.96</v>
      </c>
      <c r="Q24" s="423">
        <v>96.1</v>
      </c>
      <c r="R24" s="423">
        <v>17.2</v>
      </c>
      <c r="S24" s="745">
        <v>2.2999999999999998</v>
      </c>
      <c r="T24" s="850">
        <v>0.7</v>
      </c>
      <c r="U24" s="423">
        <v>24.1</v>
      </c>
      <c r="V24" s="420">
        <v>18860507</v>
      </c>
      <c r="W24" s="420">
        <v>187730368</v>
      </c>
      <c r="X24" s="420">
        <v>60000</v>
      </c>
      <c r="Y24" s="129">
        <v>40200638</v>
      </c>
      <c r="Z24" s="129">
        <v>11118346</v>
      </c>
    </row>
    <row r="25" spans="1:26" ht="15.75" customHeight="1" x14ac:dyDescent="0.2">
      <c r="A25" s="169" t="s">
        <v>171</v>
      </c>
      <c r="B25" s="145">
        <v>133330317</v>
      </c>
      <c r="C25" s="397">
        <v>127326398</v>
      </c>
      <c r="D25" s="456">
        <f t="shared" ref="D25" si="9">B25-C25</f>
        <v>6003919</v>
      </c>
      <c r="E25" s="397">
        <v>2008183</v>
      </c>
      <c r="F25" s="197">
        <f t="shared" ref="F25" si="10">D25-E25</f>
        <v>3995736</v>
      </c>
      <c r="G25" s="145">
        <v>-450228</v>
      </c>
      <c r="H25" s="397">
        <v>3610</v>
      </c>
      <c r="I25" s="397">
        <v>0</v>
      </c>
      <c r="J25" s="397">
        <v>0</v>
      </c>
      <c r="K25" s="397">
        <f t="shared" ref="K25" si="11">SUM(G25:I25)-J25</f>
        <v>-446618</v>
      </c>
      <c r="L25" s="847" t="s">
        <v>649</v>
      </c>
      <c r="M25" s="145">
        <v>58923898</v>
      </c>
      <c r="N25" s="397">
        <v>56397173</v>
      </c>
      <c r="O25" s="397">
        <v>78762264</v>
      </c>
      <c r="P25" s="848">
        <v>0.95599999999999996</v>
      </c>
      <c r="Q25" s="403">
        <v>91.2</v>
      </c>
      <c r="R25" s="403">
        <v>15.8</v>
      </c>
      <c r="S25" s="741">
        <v>5.0999999999999996</v>
      </c>
      <c r="T25" s="849">
        <v>2.2000000000000002</v>
      </c>
      <c r="U25" s="403" t="s">
        <v>143</v>
      </c>
      <c r="V25" s="397">
        <v>35668661</v>
      </c>
      <c r="W25" s="397">
        <v>89230562</v>
      </c>
      <c r="X25" s="397" t="s">
        <v>143</v>
      </c>
      <c r="Y25" s="140">
        <v>31544712</v>
      </c>
      <c r="Z25" s="140">
        <v>12721709</v>
      </c>
    </row>
    <row r="26" spans="1:26" ht="15.75" customHeight="1" x14ac:dyDescent="0.2">
      <c r="A26" s="121" t="s">
        <v>172</v>
      </c>
      <c r="B26" s="135">
        <v>209499468</v>
      </c>
      <c r="C26" s="420">
        <v>205650422</v>
      </c>
      <c r="D26" s="420">
        <v>3849046</v>
      </c>
      <c r="E26" s="420">
        <v>2234128</v>
      </c>
      <c r="F26" s="129">
        <v>1614918</v>
      </c>
      <c r="G26" s="135">
        <v>-2126601</v>
      </c>
      <c r="H26" s="420">
        <v>1218220</v>
      </c>
      <c r="I26" s="420">
        <v>0</v>
      </c>
      <c r="J26" s="420">
        <v>1000000</v>
      </c>
      <c r="K26" s="420">
        <v>-1908381</v>
      </c>
      <c r="L26" s="844" t="s">
        <v>649</v>
      </c>
      <c r="M26" s="135">
        <v>80322494</v>
      </c>
      <c r="N26" s="420">
        <v>75199733</v>
      </c>
      <c r="O26" s="420">
        <v>108326054</v>
      </c>
      <c r="P26" s="845">
        <v>0.94299999999999995</v>
      </c>
      <c r="Q26" s="423">
        <v>87.3</v>
      </c>
      <c r="R26" s="423">
        <v>12.9</v>
      </c>
      <c r="S26" s="745">
        <v>1.5</v>
      </c>
      <c r="T26" s="850">
        <v>-0.7</v>
      </c>
      <c r="U26" s="423" t="s">
        <v>143</v>
      </c>
      <c r="V26" s="420">
        <v>23256120</v>
      </c>
      <c r="W26" s="420">
        <v>134392286</v>
      </c>
      <c r="X26" s="420">
        <v>20000</v>
      </c>
      <c r="Y26" s="129">
        <v>142855455</v>
      </c>
      <c r="Z26" s="129">
        <v>10658812</v>
      </c>
    </row>
    <row r="27" spans="1:26" ht="15.75" customHeight="1" x14ac:dyDescent="0.2">
      <c r="A27" s="169" t="s">
        <v>173</v>
      </c>
      <c r="B27" s="145">
        <v>164111768</v>
      </c>
      <c r="C27" s="397">
        <v>160949339</v>
      </c>
      <c r="D27" s="397">
        <f t="shared" si="0"/>
        <v>3162429</v>
      </c>
      <c r="E27" s="397">
        <v>357353</v>
      </c>
      <c r="F27" s="140">
        <f t="shared" si="1"/>
        <v>2805076</v>
      </c>
      <c r="G27" s="145">
        <v>-745526</v>
      </c>
      <c r="H27" s="397">
        <v>639</v>
      </c>
      <c r="I27" s="397" t="s">
        <v>143</v>
      </c>
      <c r="J27" s="397">
        <v>3054156</v>
      </c>
      <c r="K27" s="397">
        <f t="shared" si="2"/>
        <v>-3799043</v>
      </c>
      <c r="L27" s="847" t="s">
        <v>649</v>
      </c>
      <c r="M27" s="145">
        <v>62290527</v>
      </c>
      <c r="N27" s="397">
        <v>49938759</v>
      </c>
      <c r="O27" s="397">
        <v>82779959</v>
      </c>
      <c r="P27" s="848">
        <v>0.81699999999999995</v>
      </c>
      <c r="Q27" s="403">
        <v>102.4</v>
      </c>
      <c r="R27" s="403">
        <v>17.5</v>
      </c>
      <c r="S27" s="741">
        <v>3.4</v>
      </c>
      <c r="T27" s="849">
        <v>6.6</v>
      </c>
      <c r="U27" s="403">
        <v>31.4</v>
      </c>
      <c r="V27" s="397">
        <v>13173447</v>
      </c>
      <c r="W27" s="397">
        <v>186196465</v>
      </c>
      <c r="X27" s="397" t="s">
        <v>143</v>
      </c>
      <c r="Y27" s="140">
        <v>31478527</v>
      </c>
      <c r="Z27" s="140">
        <v>10319390</v>
      </c>
    </row>
    <row r="28" spans="1:26" ht="15.75" customHeight="1" x14ac:dyDescent="0.2">
      <c r="A28" s="121" t="s">
        <v>174</v>
      </c>
      <c r="B28" s="135">
        <v>170912414</v>
      </c>
      <c r="C28" s="420">
        <v>166658376</v>
      </c>
      <c r="D28" s="420">
        <v>4254038</v>
      </c>
      <c r="E28" s="420">
        <v>1484910</v>
      </c>
      <c r="F28" s="202">
        <v>2769128</v>
      </c>
      <c r="G28" s="135">
        <v>595869</v>
      </c>
      <c r="H28" s="420">
        <v>502057</v>
      </c>
      <c r="I28" s="420" t="s">
        <v>143</v>
      </c>
      <c r="J28" s="420">
        <v>1421777</v>
      </c>
      <c r="K28" s="420">
        <v>-323851</v>
      </c>
      <c r="L28" s="844" t="s">
        <v>649</v>
      </c>
      <c r="M28" s="135">
        <v>76041494</v>
      </c>
      <c r="N28" s="420">
        <v>62357937</v>
      </c>
      <c r="O28" s="420">
        <v>101552669</v>
      </c>
      <c r="P28" s="845">
        <v>0.82599999999999996</v>
      </c>
      <c r="Q28" s="423">
        <v>91</v>
      </c>
      <c r="R28" s="423">
        <v>14.2</v>
      </c>
      <c r="S28" s="745">
        <v>2.73</v>
      </c>
      <c r="T28" s="850">
        <v>8.5</v>
      </c>
      <c r="U28" s="423">
        <v>125.5</v>
      </c>
      <c r="V28" s="420">
        <v>19254431</v>
      </c>
      <c r="W28" s="420">
        <v>234584827</v>
      </c>
      <c r="X28" s="420">
        <v>800000</v>
      </c>
      <c r="Y28" s="129">
        <v>46503103</v>
      </c>
      <c r="Z28" s="129">
        <v>7352574</v>
      </c>
    </row>
    <row r="29" spans="1:26" ht="15.75" customHeight="1" x14ac:dyDescent="0.2">
      <c r="A29" s="169" t="s">
        <v>175</v>
      </c>
      <c r="B29" s="145">
        <v>180554930</v>
      </c>
      <c r="C29" s="397">
        <v>177390519</v>
      </c>
      <c r="D29" s="456">
        <f t="shared" ref="D29" si="12">B29-C29</f>
        <v>3164411</v>
      </c>
      <c r="E29" s="397">
        <v>1454649</v>
      </c>
      <c r="F29" s="197">
        <f t="shared" ref="F29" si="13">D29-E29</f>
        <v>1709762</v>
      </c>
      <c r="G29" s="145">
        <v>42942</v>
      </c>
      <c r="H29" s="397">
        <v>303</v>
      </c>
      <c r="I29" s="808">
        <v>553273</v>
      </c>
      <c r="J29" s="397">
        <v>415000</v>
      </c>
      <c r="K29" s="397">
        <f t="shared" ref="K29" si="14">SUM(G29:I29)-J29</f>
        <v>181518</v>
      </c>
      <c r="L29" s="847" t="s">
        <v>649</v>
      </c>
      <c r="M29" s="145">
        <v>75418076</v>
      </c>
      <c r="N29" s="397">
        <v>67022351</v>
      </c>
      <c r="O29" s="397">
        <v>100921543</v>
      </c>
      <c r="P29" s="848">
        <v>0.88</v>
      </c>
      <c r="Q29" s="403">
        <v>89.9</v>
      </c>
      <c r="R29" s="403">
        <v>12.3</v>
      </c>
      <c r="S29" s="741">
        <v>1.7</v>
      </c>
      <c r="T29" s="849">
        <v>5.9</v>
      </c>
      <c r="U29" s="403">
        <v>60.5</v>
      </c>
      <c r="V29" s="397">
        <v>16298191</v>
      </c>
      <c r="W29" s="397">
        <v>215538010</v>
      </c>
      <c r="X29" s="397">
        <v>2657</v>
      </c>
      <c r="Y29" s="140">
        <v>4230559</v>
      </c>
      <c r="Z29" s="140">
        <v>2591684</v>
      </c>
    </row>
    <row r="30" spans="1:26" ht="15.75" customHeight="1" x14ac:dyDescent="0.2">
      <c r="A30" s="121" t="s">
        <v>251</v>
      </c>
      <c r="B30" s="135">
        <v>103081314</v>
      </c>
      <c r="C30" s="420">
        <v>100612814</v>
      </c>
      <c r="D30" s="420">
        <v>2468500</v>
      </c>
      <c r="E30" s="420">
        <v>112990</v>
      </c>
      <c r="F30" s="129">
        <v>2355510</v>
      </c>
      <c r="G30" s="135">
        <v>530198</v>
      </c>
      <c r="H30" s="420">
        <v>300010</v>
      </c>
      <c r="I30" s="420">
        <v>0</v>
      </c>
      <c r="J30" s="420">
        <v>0</v>
      </c>
      <c r="K30" s="420">
        <v>830208</v>
      </c>
      <c r="L30" s="844" t="s">
        <v>650</v>
      </c>
      <c r="M30" s="135">
        <v>44787153</v>
      </c>
      <c r="N30" s="420">
        <v>36710959</v>
      </c>
      <c r="O30" s="420">
        <v>60321312</v>
      </c>
      <c r="P30" s="845">
        <v>0.84</v>
      </c>
      <c r="Q30" s="423">
        <v>93.1</v>
      </c>
      <c r="R30" s="423">
        <v>17.2</v>
      </c>
      <c r="S30" s="745">
        <v>3.9</v>
      </c>
      <c r="T30" s="846">
        <v>10.3</v>
      </c>
      <c r="U30" s="423">
        <v>95.6</v>
      </c>
      <c r="V30" s="420">
        <v>3661621</v>
      </c>
      <c r="W30" s="420">
        <v>146622940</v>
      </c>
      <c r="X30" s="420">
        <v>0</v>
      </c>
      <c r="Y30" s="202">
        <v>11981372</v>
      </c>
      <c r="Z30" s="202">
        <v>334110</v>
      </c>
    </row>
    <row r="31" spans="1:26" ht="15.75" customHeight="1" x14ac:dyDescent="0.2">
      <c r="A31" s="169" t="s">
        <v>178</v>
      </c>
      <c r="B31" s="145">
        <v>76278411</v>
      </c>
      <c r="C31" s="397">
        <v>75561355</v>
      </c>
      <c r="D31" s="456">
        <f t="shared" ref="D31" si="15">B31-C31</f>
        <v>717056</v>
      </c>
      <c r="E31" s="397">
        <v>147674</v>
      </c>
      <c r="F31" s="197">
        <f t="shared" ref="F31" si="16">D31-E31</f>
        <v>569382</v>
      </c>
      <c r="G31" s="145">
        <v>-118563</v>
      </c>
      <c r="H31" s="397">
        <v>650</v>
      </c>
      <c r="I31" s="397" t="s">
        <v>143</v>
      </c>
      <c r="J31" s="397">
        <v>303504</v>
      </c>
      <c r="K31" s="397">
        <f t="shared" ref="K31" si="17">SUM(G31:I31)-J31</f>
        <v>-421417</v>
      </c>
      <c r="L31" s="847" t="s">
        <v>649</v>
      </c>
      <c r="M31" s="145">
        <v>32410107</v>
      </c>
      <c r="N31" s="397">
        <v>24500669</v>
      </c>
      <c r="O31" s="397">
        <v>42807231</v>
      </c>
      <c r="P31" s="848">
        <v>0.77</v>
      </c>
      <c r="Q31" s="403">
        <v>97.7</v>
      </c>
      <c r="R31" s="403">
        <v>15.1</v>
      </c>
      <c r="S31" s="741">
        <v>1.3</v>
      </c>
      <c r="T31" s="849">
        <v>6.8</v>
      </c>
      <c r="U31" s="403">
        <v>72.400000000000006</v>
      </c>
      <c r="V31" s="397">
        <v>10510066</v>
      </c>
      <c r="W31" s="397">
        <v>79312795</v>
      </c>
      <c r="X31" s="397" t="s">
        <v>143</v>
      </c>
      <c r="Y31" s="140" t="s">
        <v>143</v>
      </c>
      <c r="Z31" s="140">
        <v>2495879</v>
      </c>
    </row>
    <row r="32" spans="1:26" ht="15.75" customHeight="1" x14ac:dyDescent="0.2">
      <c r="A32" s="121" t="s">
        <v>179</v>
      </c>
      <c r="B32" s="135">
        <v>165740620</v>
      </c>
      <c r="C32" s="420">
        <v>163662918</v>
      </c>
      <c r="D32" s="420">
        <v>2077702</v>
      </c>
      <c r="E32" s="420">
        <v>1867949</v>
      </c>
      <c r="F32" s="129">
        <v>209753</v>
      </c>
      <c r="G32" s="135">
        <v>-2006592</v>
      </c>
      <c r="H32" s="420">
        <v>59876</v>
      </c>
      <c r="I32" s="420">
        <v>0</v>
      </c>
      <c r="J32" s="420">
        <v>2908534</v>
      </c>
      <c r="K32" s="420">
        <v>-4855250</v>
      </c>
      <c r="L32" s="844" t="s">
        <v>649</v>
      </c>
      <c r="M32" s="135">
        <v>67421478</v>
      </c>
      <c r="N32" s="420">
        <v>49489180</v>
      </c>
      <c r="O32" s="420">
        <v>87609247</v>
      </c>
      <c r="P32" s="845">
        <v>0.74</v>
      </c>
      <c r="Q32" s="423">
        <v>91.8</v>
      </c>
      <c r="R32" s="423">
        <v>14.5</v>
      </c>
      <c r="S32" s="745">
        <v>0.2</v>
      </c>
      <c r="T32" s="850">
        <v>2.8</v>
      </c>
      <c r="U32" s="423">
        <v>50.7</v>
      </c>
      <c r="V32" s="420">
        <v>31262059</v>
      </c>
      <c r="W32" s="420">
        <v>153389204</v>
      </c>
      <c r="X32" s="420" t="s">
        <v>143</v>
      </c>
      <c r="Y32" s="129">
        <v>32168467</v>
      </c>
      <c r="Z32" s="129">
        <v>13408045</v>
      </c>
    </row>
    <row r="33" spans="1:26" ht="15.75" customHeight="1" x14ac:dyDescent="0.2">
      <c r="A33" s="169" t="s">
        <v>252</v>
      </c>
      <c r="B33" s="183">
        <v>95645111</v>
      </c>
      <c r="C33" s="456">
        <v>92315505</v>
      </c>
      <c r="D33" s="456">
        <v>3329606</v>
      </c>
      <c r="E33" s="456">
        <v>1495303</v>
      </c>
      <c r="F33" s="197">
        <v>1834303</v>
      </c>
      <c r="G33" s="183">
        <v>193819</v>
      </c>
      <c r="H33" s="456">
        <v>810077</v>
      </c>
      <c r="I33" s="456" t="s">
        <v>143</v>
      </c>
      <c r="J33" s="456">
        <v>2003510</v>
      </c>
      <c r="K33" s="456">
        <v>-999614</v>
      </c>
      <c r="L33" s="851" t="s">
        <v>649</v>
      </c>
      <c r="M33" s="183">
        <v>43484885</v>
      </c>
      <c r="N33" s="456">
        <v>31872051</v>
      </c>
      <c r="O33" s="456">
        <v>56742662</v>
      </c>
      <c r="P33" s="852">
        <v>0.73</v>
      </c>
      <c r="Q33" s="178">
        <v>84.2</v>
      </c>
      <c r="R33" s="178">
        <v>16.5</v>
      </c>
      <c r="S33" s="749">
        <v>3.2</v>
      </c>
      <c r="T33" s="853">
        <v>4.2</v>
      </c>
      <c r="U33" s="178" t="s">
        <v>143</v>
      </c>
      <c r="V33" s="456">
        <v>38559271</v>
      </c>
      <c r="W33" s="456">
        <v>72218916</v>
      </c>
      <c r="X33" s="456" t="s">
        <v>143</v>
      </c>
      <c r="Y33" s="197">
        <v>19103016</v>
      </c>
      <c r="Z33" s="197">
        <v>12861652</v>
      </c>
    </row>
    <row r="34" spans="1:26" ht="15.75" customHeight="1" x14ac:dyDescent="0.2">
      <c r="A34" s="121" t="s">
        <v>181</v>
      </c>
      <c r="B34" s="193">
        <v>170074106</v>
      </c>
      <c r="C34" s="438">
        <v>163116165</v>
      </c>
      <c r="D34" s="438">
        <f t="shared" ref="D34" si="18">B34-C34</f>
        <v>6957941</v>
      </c>
      <c r="E34" s="438">
        <v>388015</v>
      </c>
      <c r="F34" s="202">
        <f t="shared" ref="F34" si="19">D34-E34</f>
        <v>6569926</v>
      </c>
      <c r="G34" s="193">
        <v>-198985</v>
      </c>
      <c r="H34" s="438">
        <v>1981</v>
      </c>
      <c r="I34" s="438" t="s">
        <v>143</v>
      </c>
      <c r="J34" s="438">
        <v>2100000</v>
      </c>
      <c r="K34" s="438">
        <f t="shared" ref="K34" si="20">SUM(G34:I34)-J34</f>
        <v>-2297004</v>
      </c>
      <c r="L34" s="855" t="s">
        <v>649</v>
      </c>
      <c r="M34" s="193">
        <v>63162790</v>
      </c>
      <c r="N34" s="438">
        <v>55098561</v>
      </c>
      <c r="O34" s="438">
        <v>83675421</v>
      </c>
      <c r="P34" s="856">
        <v>0.874</v>
      </c>
      <c r="Q34" s="161">
        <v>95.5</v>
      </c>
      <c r="R34" s="161">
        <v>16.8</v>
      </c>
      <c r="S34" s="747">
        <v>7.9</v>
      </c>
      <c r="T34" s="857">
        <v>4.5</v>
      </c>
      <c r="U34" s="161" t="s">
        <v>143</v>
      </c>
      <c r="V34" s="438">
        <v>28836550</v>
      </c>
      <c r="W34" s="438">
        <v>137864014</v>
      </c>
      <c r="X34" s="438">
        <v>100000</v>
      </c>
      <c r="Y34" s="202">
        <v>33153509</v>
      </c>
      <c r="Z34" s="202">
        <v>8286605</v>
      </c>
    </row>
    <row r="35" spans="1:26" ht="15.75" customHeight="1" x14ac:dyDescent="0.2">
      <c r="A35" s="169" t="s">
        <v>182</v>
      </c>
      <c r="B35" s="183">
        <v>132246178</v>
      </c>
      <c r="C35" s="456">
        <v>128320336</v>
      </c>
      <c r="D35" s="456">
        <f t="shared" si="0"/>
        <v>3925842</v>
      </c>
      <c r="E35" s="456">
        <v>278473</v>
      </c>
      <c r="F35" s="197">
        <f t="shared" si="1"/>
        <v>3647369</v>
      </c>
      <c r="G35" s="183">
        <v>828655</v>
      </c>
      <c r="H35" s="456">
        <v>1518</v>
      </c>
      <c r="I35" s="456">
        <v>0</v>
      </c>
      <c r="J35" s="456">
        <v>2161000</v>
      </c>
      <c r="K35" s="456">
        <f t="shared" si="2"/>
        <v>-1330827</v>
      </c>
      <c r="L35" s="851" t="s">
        <v>651</v>
      </c>
      <c r="M35" s="183">
        <v>56221496</v>
      </c>
      <c r="N35" s="456">
        <v>56107108</v>
      </c>
      <c r="O35" s="456">
        <v>72281375</v>
      </c>
      <c r="P35" s="852">
        <v>0.99299999999999999</v>
      </c>
      <c r="Q35" s="178">
        <v>88.5</v>
      </c>
      <c r="R35" s="178">
        <v>15.9</v>
      </c>
      <c r="S35" s="749">
        <v>5</v>
      </c>
      <c r="T35" s="853">
        <v>3.7</v>
      </c>
      <c r="U35" s="178">
        <v>51.4</v>
      </c>
      <c r="V35" s="456">
        <v>7367282</v>
      </c>
      <c r="W35" s="456">
        <v>99498077</v>
      </c>
      <c r="X35" s="456">
        <v>400000</v>
      </c>
      <c r="Y35" s="197">
        <v>41773205</v>
      </c>
      <c r="Z35" s="197">
        <v>5261195</v>
      </c>
    </row>
    <row r="36" spans="1:26" ht="15.75" customHeight="1" x14ac:dyDescent="0.2">
      <c r="A36" s="121" t="s">
        <v>183</v>
      </c>
      <c r="B36" s="193">
        <v>137759349</v>
      </c>
      <c r="C36" s="438">
        <v>131444936</v>
      </c>
      <c r="D36" s="438">
        <f t="shared" si="0"/>
        <v>6314413</v>
      </c>
      <c r="E36" s="438">
        <v>2061846</v>
      </c>
      <c r="F36" s="202">
        <f t="shared" si="1"/>
        <v>4252567</v>
      </c>
      <c r="G36" s="193">
        <v>-255153</v>
      </c>
      <c r="H36" s="438">
        <v>874511</v>
      </c>
      <c r="I36" s="438" t="s">
        <v>143</v>
      </c>
      <c r="J36" s="438">
        <v>4044451</v>
      </c>
      <c r="K36" s="438">
        <f t="shared" si="2"/>
        <v>-3425093</v>
      </c>
      <c r="L36" s="855" t="s">
        <v>651</v>
      </c>
      <c r="M36" s="193">
        <v>56046702</v>
      </c>
      <c r="N36" s="438">
        <v>58906240</v>
      </c>
      <c r="O36" s="438">
        <v>76355730</v>
      </c>
      <c r="P36" s="856">
        <v>1.0509999999999999</v>
      </c>
      <c r="Q36" s="161">
        <v>87.7</v>
      </c>
      <c r="R36" s="161">
        <v>15.4</v>
      </c>
      <c r="S36" s="747">
        <v>5.6</v>
      </c>
      <c r="T36" s="857">
        <v>-1</v>
      </c>
      <c r="U36" s="161" t="s">
        <v>143</v>
      </c>
      <c r="V36" s="438">
        <v>24866479</v>
      </c>
      <c r="W36" s="438">
        <v>62546319</v>
      </c>
      <c r="X36" s="438" t="s">
        <v>143</v>
      </c>
      <c r="Y36" s="202">
        <v>36095516</v>
      </c>
      <c r="Z36" s="202">
        <v>11989162</v>
      </c>
    </row>
    <row r="37" spans="1:26" ht="15.75" customHeight="1" x14ac:dyDescent="0.2">
      <c r="A37" s="169" t="s">
        <v>184</v>
      </c>
      <c r="B37" s="183">
        <v>117918694</v>
      </c>
      <c r="C37" s="456">
        <v>115213501</v>
      </c>
      <c r="D37" s="456">
        <f t="shared" si="0"/>
        <v>2705193</v>
      </c>
      <c r="E37" s="456">
        <v>63494</v>
      </c>
      <c r="F37" s="197">
        <f t="shared" si="1"/>
        <v>2641699</v>
      </c>
      <c r="G37" s="183">
        <v>30037</v>
      </c>
      <c r="H37" s="456">
        <v>3004802</v>
      </c>
      <c r="I37" s="456" t="s">
        <v>143</v>
      </c>
      <c r="J37" s="456">
        <v>3200000</v>
      </c>
      <c r="K37" s="456">
        <f t="shared" si="2"/>
        <v>-165161</v>
      </c>
      <c r="L37" s="851" t="s">
        <v>649</v>
      </c>
      <c r="M37" s="183">
        <v>54088726</v>
      </c>
      <c r="N37" s="456">
        <v>45066100</v>
      </c>
      <c r="O37" s="456">
        <v>72362696</v>
      </c>
      <c r="P37" s="852">
        <v>0.84</v>
      </c>
      <c r="Q37" s="178">
        <v>91.8</v>
      </c>
      <c r="R37" s="178">
        <v>15.2</v>
      </c>
      <c r="S37" s="749">
        <v>3.7</v>
      </c>
      <c r="T37" s="853">
        <v>3.5</v>
      </c>
      <c r="U37" s="178">
        <v>39</v>
      </c>
      <c r="V37" s="456">
        <v>7611238</v>
      </c>
      <c r="W37" s="456">
        <v>107279451</v>
      </c>
      <c r="X37" s="456" t="s">
        <v>143</v>
      </c>
      <c r="Y37" s="197">
        <v>6908557</v>
      </c>
      <c r="Z37" s="197">
        <v>4256038</v>
      </c>
    </row>
    <row r="38" spans="1:26" ht="15.75" customHeight="1" x14ac:dyDescent="0.2">
      <c r="A38" s="121" t="s">
        <v>185</v>
      </c>
      <c r="B38" s="135">
        <v>202379593</v>
      </c>
      <c r="C38" s="420">
        <v>187267580</v>
      </c>
      <c r="D38" s="420">
        <v>15112013</v>
      </c>
      <c r="E38" s="420">
        <v>7730583</v>
      </c>
      <c r="F38" s="129">
        <v>7381430</v>
      </c>
      <c r="G38" s="135">
        <v>1540390</v>
      </c>
      <c r="H38" s="420">
        <v>4000000</v>
      </c>
      <c r="I38" s="420">
        <v>156701</v>
      </c>
      <c r="J38" s="420">
        <v>0</v>
      </c>
      <c r="K38" s="420">
        <v>5697091</v>
      </c>
      <c r="L38" s="844" t="s">
        <v>651</v>
      </c>
      <c r="M38" s="135">
        <v>64385377</v>
      </c>
      <c r="N38" s="420">
        <v>98994926</v>
      </c>
      <c r="O38" s="420">
        <v>131208145</v>
      </c>
      <c r="P38" s="845">
        <v>1.4730000000000001</v>
      </c>
      <c r="Q38" s="423">
        <v>69.7</v>
      </c>
      <c r="R38" s="423">
        <v>15.5</v>
      </c>
      <c r="S38" s="745">
        <v>5.6</v>
      </c>
      <c r="T38" s="850">
        <v>2.8</v>
      </c>
      <c r="U38" s="423" t="s">
        <v>143</v>
      </c>
      <c r="V38" s="420">
        <v>84221378</v>
      </c>
      <c r="W38" s="420">
        <v>51359326</v>
      </c>
      <c r="X38" s="420" t="s">
        <v>143</v>
      </c>
      <c r="Y38" s="129">
        <v>39033531</v>
      </c>
      <c r="Z38" s="129">
        <v>37100000</v>
      </c>
    </row>
    <row r="39" spans="1:26" ht="15.75" customHeight="1" x14ac:dyDescent="0.2">
      <c r="A39" s="169" t="s">
        <v>186</v>
      </c>
      <c r="B39" s="145">
        <v>134604507</v>
      </c>
      <c r="C39" s="397">
        <v>130975246</v>
      </c>
      <c r="D39" s="456">
        <f t="shared" si="0"/>
        <v>3629261</v>
      </c>
      <c r="E39" s="397">
        <v>892235</v>
      </c>
      <c r="F39" s="197">
        <f t="shared" si="1"/>
        <v>2737026</v>
      </c>
      <c r="G39" s="145">
        <v>1426640</v>
      </c>
      <c r="H39" s="397">
        <v>1612279</v>
      </c>
      <c r="I39" s="397">
        <v>5500</v>
      </c>
      <c r="J39" s="397">
        <v>0</v>
      </c>
      <c r="K39" s="397">
        <f t="shared" ref="K39:K56" si="21">SUM(G39:I39)-J39</f>
        <v>3044419</v>
      </c>
      <c r="L39" s="847" t="s">
        <v>649</v>
      </c>
      <c r="M39" s="145">
        <v>52022288</v>
      </c>
      <c r="N39" s="397">
        <v>42749175</v>
      </c>
      <c r="O39" s="397">
        <v>69408090</v>
      </c>
      <c r="P39" s="848">
        <v>0.82299999999999995</v>
      </c>
      <c r="Q39" s="403">
        <v>88.9</v>
      </c>
      <c r="R39" s="403">
        <v>15.1</v>
      </c>
      <c r="S39" s="741">
        <v>3.9</v>
      </c>
      <c r="T39" s="849">
        <v>2.1</v>
      </c>
      <c r="U39" s="403" t="s">
        <v>143</v>
      </c>
      <c r="V39" s="397">
        <v>20750750</v>
      </c>
      <c r="W39" s="397">
        <v>118295707</v>
      </c>
      <c r="X39" s="397" t="s">
        <v>143</v>
      </c>
      <c r="Y39" s="140">
        <v>56200553</v>
      </c>
      <c r="Z39" s="140">
        <v>4982629</v>
      </c>
    </row>
    <row r="40" spans="1:26" ht="15.75" customHeight="1" x14ac:dyDescent="0.2">
      <c r="A40" s="121" t="s">
        <v>187</v>
      </c>
      <c r="B40" s="135">
        <v>151685562</v>
      </c>
      <c r="C40" s="420">
        <v>146338700</v>
      </c>
      <c r="D40" s="420">
        <f t="shared" si="0"/>
        <v>5346862</v>
      </c>
      <c r="E40" s="420">
        <v>483320</v>
      </c>
      <c r="F40" s="129">
        <f t="shared" si="1"/>
        <v>4863542</v>
      </c>
      <c r="G40" s="135">
        <v>1852386</v>
      </c>
      <c r="H40" s="420">
        <v>1246521</v>
      </c>
      <c r="I40" s="420">
        <v>0</v>
      </c>
      <c r="J40" s="420">
        <v>0</v>
      </c>
      <c r="K40" s="420">
        <f t="shared" si="21"/>
        <v>3098907</v>
      </c>
      <c r="L40" s="855" t="s">
        <v>649</v>
      </c>
      <c r="M40" s="135">
        <v>62009225</v>
      </c>
      <c r="N40" s="420">
        <v>56371455</v>
      </c>
      <c r="O40" s="420">
        <v>78896499</v>
      </c>
      <c r="P40" s="845">
        <v>0.91600000000000004</v>
      </c>
      <c r="Q40" s="423">
        <v>91.4</v>
      </c>
      <c r="R40" s="423">
        <v>17.899999999999999</v>
      </c>
      <c r="S40" s="745">
        <f>F40/(O40+5552645)*100</f>
        <v>5.7591371204425705</v>
      </c>
      <c r="T40" s="850">
        <v>3.1</v>
      </c>
      <c r="U40" s="423" t="s">
        <v>143</v>
      </c>
      <c r="V40" s="420">
        <v>15505939</v>
      </c>
      <c r="W40" s="420">
        <v>87249318</v>
      </c>
      <c r="X40" s="420">
        <v>193932</v>
      </c>
      <c r="Y40" s="129">
        <v>17290446</v>
      </c>
      <c r="Z40" s="129">
        <v>6034712</v>
      </c>
    </row>
    <row r="41" spans="1:26" ht="15.75" customHeight="1" x14ac:dyDescent="0.2">
      <c r="A41" s="169" t="s">
        <v>188</v>
      </c>
      <c r="B41" s="145">
        <v>137626021</v>
      </c>
      <c r="C41" s="397">
        <v>135536180</v>
      </c>
      <c r="D41" s="397">
        <v>2089841</v>
      </c>
      <c r="E41" s="397">
        <v>1675657</v>
      </c>
      <c r="F41" s="140">
        <v>414184</v>
      </c>
      <c r="G41" s="145">
        <v>-2041604</v>
      </c>
      <c r="H41" s="397">
        <v>1227671</v>
      </c>
      <c r="I41" s="397">
        <v>0</v>
      </c>
      <c r="J41" s="397">
        <v>0</v>
      </c>
      <c r="K41" s="397">
        <v>-813933</v>
      </c>
      <c r="L41" s="847" t="s">
        <v>649</v>
      </c>
      <c r="M41" s="145">
        <v>54025452</v>
      </c>
      <c r="N41" s="397">
        <v>53485093</v>
      </c>
      <c r="O41" s="397">
        <v>71435075</v>
      </c>
      <c r="P41" s="848">
        <v>0.99</v>
      </c>
      <c r="Q41" s="403">
        <v>96.7</v>
      </c>
      <c r="R41" s="403">
        <v>17</v>
      </c>
      <c r="S41" s="741">
        <v>0.6</v>
      </c>
      <c r="T41" s="849">
        <v>-2.7</v>
      </c>
      <c r="U41" s="403" t="s">
        <v>143</v>
      </c>
      <c r="V41" s="397">
        <v>32347686</v>
      </c>
      <c r="W41" s="397">
        <v>51508727</v>
      </c>
      <c r="X41" s="397">
        <v>190120</v>
      </c>
      <c r="Y41" s="140">
        <v>34809117</v>
      </c>
      <c r="Z41" s="140">
        <v>13381519</v>
      </c>
    </row>
    <row r="42" spans="1:26" ht="15.75" customHeight="1" x14ac:dyDescent="0.2">
      <c r="A42" s="121" t="s">
        <v>190</v>
      </c>
      <c r="B42" s="135">
        <v>119471050</v>
      </c>
      <c r="C42" s="420">
        <v>114889040</v>
      </c>
      <c r="D42" s="420">
        <f t="shared" ref="D42" si="22">B42-C42</f>
        <v>4582010</v>
      </c>
      <c r="E42" s="420">
        <v>3936353</v>
      </c>
      <c r="F42" s="129">
        <f t="shared" ref="F42" si="23">D42-E42</f>
        <v>645657</v>
      </c>
      <c r="G42" s="135">
        <v>145956</v>
      </c>
      <c r="H42" s="420">
        <v>274748</v>
      </c>
      <c r="I42" s="811" t="s">
        <v>143</v>
      </c>
      <c r="J42" s="811" t="s">
        <v>143</v>
      </c>
      <c r="K42" s="420">
        <f t="shared" ref="K42" si="24">SUM(G42:I42)-J42</f>
        <v>420704</v>
      </c>
      <c r="L42" s="844" t="s">
        <v>649</v>
      </c>
      <c r="M42" s="135">
        <v>51262275</v>
      </c>
      <c r="N42" s="420">
        <v>41511527</v>
      </c>
      <c r="O42" s="420">
        <v>68299201</v>
      </c>
      <c r="P42" s="845">
        <v>0.81599999999999995</v>
      </c>
      <c r="Q42" s="423">
        <v>94.7</v>
      </c>
      <c r="R42" s="423">
        <v>17.2</v>
      </c>
      <c r="S42" s="745">
        <v>0.94533609551303543</v>
      </c>
      <c r="T42" s="850">
        <v>-0.7</v>
      </c>
      <c r="U42" s="423" t="s">
        <v>143</v>
      </c>
      <c r="V42" s="420">
        <v>32359141</v>
      </c>
      <c r="W42" s="420">
        <v>50035836</v>
      </c>
      <c r="X42" s="420">
        <v>186014</v>
      </c>
      <c r="Y42" s="129">
        <v>6194265</v>
      </c>
      <c r="Z42" s="129">
        <v>15116884</v>
      </c>
    </row>
    <row r="43" spans="1:26" ht="15.75" customHeight="1" x14ac:dyDescent="0.2">
      <c r="A43" s="169" t="s">
        <v>191</v>
      </c>
      <c r="B43" s="145">
        <v>138010246</v>
      </c>
      <c r="C43" s="397">
        <v>135493533</v>
      </c>
      <c r="D43" s="456">
        <f t="shared" si="0"/>
        <v>2516713</v>
      </c>
      <c r="E43" s="397">
        <v>861775</v>
      </c>
      <c r="F43" s="197">
        <f t="shared" si="1"/>
        <v>1654938</v>
      </c>
      <c r="G43" s="145">
        <v>74641</v>
      </c>
      <c r="H43" s="397">
        <v>1338278</v>
      </c>
      <c r="I43" s="397">
        <v>264135</v>
      </c>
      <c r="J43" s="397">
        <v>0</v>
      </c>
      <c r="K43" s="397">
        <f t="shared" si="21"/>
        <v>1677054</v>
      </c>
      <c r="L43" s="847" t="s">
        <v>649</v>
      </c>
      <c r="M43" s="145">
        <v>59109214</v>
      </c>
      <c r="N43" s="397">
        <v>47036732</v>
      </c>
      <c r="O43" s="397">
        <v>77953038</v>
      </c>
      <c r="P43" s="848">
        <v>0.79900000000000004</v>
      </c>
      <c r="Q43" s="403">
        <v>96.1</v>
      </c>
      <c r="R43" s="403">
        <v>15.1</v>
      </c>
      <c r="S43" s="741">
        <v>2.1</v>
      </c>
      <c r="T43" s="849">
        <v>-0.8</v>
      </c>
      <c r="U43" s="403">
        <v>0</v>
      </c>
      <c r="V43" s="397">
        <v>29422007</v>
      </c>
      <c r="W43" s="397">
        <v>105708404</v>
      </c>
      <c r="X43" s="397">
        <v>195505</v>
      </c>
      <c r="Y43" s="140">
        <v>40897433</v>
      </c>
      <c r="Z43" s="140">
        <v>11357178</v>
      </c>
    </row>
    <row r="44" spans="1:26" ht="15.75" customHeight="1" x14ac:dyDescent="0.2">
      <c r="A44" s="121" t="s">
        <v>253</v>
      </c>
      <c r="B44" s="135">
        <v>101420086</v>
      </c>
      <c r="C44" s="420">
        <v>99977773</v>
      </c>
      <c r="D44" s="420">
        <f t="shared" si="0"/>
        <v>1442313</v>
      </c>
      <c r="E44" s="420">
        <v>57388</v>
      </c>
      <c r="F44" s="129">
        <f t="shared" si="1"/>
        <v>1384925</v>
      </c>
      <c r="G44" s="135">
        <v>637921</v>
      </c>
      <c r="H44" s="420">
        <v>396145</v>
      </c>
      <c r="I44" s="420">
        <v>94300</v>
      </c>
      <c r="J44" s="420">
        <v>0</v>
      </c>
      <c r="K44" s="420">
        <f t="shared" si="21"/>
        <v>1128366</v>
      </c>
      <c r="L44" s="844" t="s">
        <v>649</v>
      </c>
      <c r="M44" s="135">
        <v>43366225</v>
      </c>
      <c r="N44" s="420">
        <v>31749687</v>
      </c>
      <c r="O44" s="420">
        <v>57032209</v>
      </c>
      <c r="P44" s="845">
        <v>0.75</v>
      </c>
      <c r="Q44" s="423">
        <v>100.4</v>
      </c>
      <c r="R44" s="423">
        <v>17.2</v>
      </c>
      <c r="S44" s="745">
        <v>2.4</v>
      </c>
      <c r="T44" s="850">
        <v>5.0999999999999996</v>
      </c>
      <c r="U44" s="423">
        <v>10</v>
      </c>
      <c r="V44" s="420">
        <v>8649930</v>
      </c>
      <c r="W44" s="420">
        <v>97209209</v>
      </c>
      <c r="X44" s="420">
        <v>171341</v>
      </c>
      <c r="Y44" s="129">
        <v>17636000</v>
      </c>
      <c r="Z44" s="129">
        <v>6236353</v>
      </c>
    </row>
    <row r="45" spans="1:26" ht="15.75" customHeight="1" x14ac:dyDescent="0.2">
      <c r="A45" s="169" t="s">
        <v>193</v>
      </c>
      <c r="B45" s="145">
        <v>89219936</v>
      </c>
      <c r="C45" s="397">
        <v>87296110</v>
      </c>
      <c r="D45" s="456">
        <v>1923826</v>
      </c>
      <c r="E45" s="397">
        <v>60821</v>
      </c>
      <c r="F45" s="197">
        <v>1863005</v>
      </c>
      <c r="G45" s="145">
        <v>204021</v>
      </c>
      <c r="H45" s="397">
        <v>3085217</v>
      </c>
      <c r="I45" s="397">
        <v>10352</v>
      </c>
      <c r="J45" s="397">
        <v>140000</v>
      </c>
      <c r="K45" s="397">
        <v>3159590</v>
      </c>
      <c r="L45" s="847" t="s">
        <v>649</v>
      </c>
      <c r="M45" s="145">
        <v>36892413</v>
      </c>
      <c r="N45" s="397">
        <v>23951775</v>
      </c>
      <c r="O45" s="397">
        <v>46880283</v>
      </c>
      <c r="P45" s="848">
        <v>0.66800000000000004</v>
      </c>
      <c r="Q45" s="403">
        <v>91.3</v>
      </c>
      <c r="R45" s="403">
        <v>12</v>
      </c>
      <c r="S45" s="741">
        <v>4</v>
      </c>
      <c r="T45" s="849">
        <v>0.4</v>
      </c>
      <c r="U45" s="403" t="s">
        <v>143</v>
      </c>
      <c r="V45" s="397">
        <v>18221864</v>
      </c>
      <c r="W45" s="397">
        <v>61702941</v>
      </c>
      <c r="X45" s="397">
        <v>162826</v>
      </c>
      <c r="Y45" s="140">
        <v>9353902</v>
      </c>
      <c r="Z45" s="140">
        <v>10140647</v>
      </c>
    </row>
    <row r="46" spans="1:26" ht="15.75" customHeight="1" x14ac:dyDescent="0.2">
      <c r="A46" s="121" t="s">
        <v>194</v>
      </c>
      <c r="B46" s="135">
        <v>207461906</v>
      </c>
      <c r="C46" s="420">
        <v>204202055</v>
      </c>
      <c r="D46" s="420">
        <f t="shared" ref="D46" si="25">B46-C46</f>
        <v>3259851</v>
      </c>
      <c r="E46" s="420">
        <v>345809</v>
      </c>
      <c r="F46" s="129">
        <f t="shared" ref="F46" si="26">D46-E46</f>
        <v>2914042</v>
      </c>
      <c r="G46" s="135">
        <v>335387</v>
      </c>
      <c r="H46" s="420">
        <v>3565600</v>
      </c>
      <c r="I46" s="420">
        <v>38</v>
      </c>
      <c r="J46" s="420">
        <v>2900000</v>
      </c>
      <c r="K46" s="420">
        <f t="shared" ref="K46" si="27">SUM(G46:I46)-J46</f>
        <v>1001025</v>
      </c>
      <c r="L46" s="844" t="s">
        <v>649</v>
      </c>
      <c r="M46" s="135">
        <v>83371748</v>
      </c>
      <c r="N46" s="420">
        <v>63805869</v>
      </c>
      <c r="O46" s="420">
        <v>109402288</v>
      </c>
      <c r="P46" s="845">
        <v>0.76497999999999999</v>
      </c>
      <c r="Q46" s="423">
        <v>95.4</v>
      </c>
      <c r="R46" s="423">
        <v>13</v>
      </c>
      <c r="S46" s="745">
        <v>2.7</v>
      </c>
      <c r="T46" s="850">
        <v>5.0999999999999996</v>
      </c>
      <c r="U46" s="423">
        <v>5.4</v>
      </c>
      <c r="V46" s="420">
        <v>26734990</v>
      </c>
      <c r="W46" s="420">
        <v>191206974</v>
      </c>
      <c r="X46" s="420">
        <v>213396</v>
      </c>
      <c r="Y46" s="129">
        <v>20978414</v>
      </c>
      <c r="Z46" s="129">
        <v>17105320</v>
      </c>
    </row>
    <row r="47" spans="1:26" ht="15.75" customHeight="1" x14ac:dyDescent="0.2">
      <c r="A47" s="169" t="s">
        <v>195</v>
      </c>
      <c r="B47" s="145">
        <v>220367515</v>
      </c>
      <c r="C47" s="397">
        <v>210600957</v>
      </c>
      <c r="D47" s="456">
        <v>9766558</v>
      </c>
      <c r="E47" s="397">
        <v>3864510</v>
      </c>
      <c r="F47" s="197">
        <v>5902048</v>
      </c>
      <c r="G47" s="145">
        <v>353641</v>
      </c>
      <c r="H47" s="397">
        <v>7838</v>
      </c>
      <c r="I47" s="397">
        <v>392900</v>
      </c>
      <c r="J47" s="397" t="s">
        <v>143</v>
      </c>
      <c r="K47" s="397">
        <v>754379</v>
      </c>
      <c r="L47" s="847" t="s">
        <v>649</v>
      </c>
      <c r="M47" s="145">
        <v>88714367</v>
      </c>
      <c r="N47" s="397">
        <v>78332743</v>
      </c>
      <c r="O47" s="397">
        <v>120088383</v>
      </c>
      <c r="P47" s="848">
        <v>0.88800000000000001</v>
      </c>
      <c r="Q47" s="403">
        <v>87.3</v>
      </c>
      <c r="R47" s="403">
        <v>16.2</v>
      </c>
      <c r="S47" s="741">
        <v>5.2</v>
      </c>
      <c r="T47" s="849">
        <v>3.2</v>
      </c>
      <c r="U47" s="403" t="s">
        <v>143</v>
      </c>
      <c r="V47" s="397">
        <v>52291699</v>
      </c>
      <c r="W47" s="397">
        <v>200715832</v>
      </c>
      <c r="X47" s="397" t="s">
        <v>143</v>
      </c>
      <c r="Y47" s="140">
        <v>52459264</v>
      </c>
      <c r="Z47" s="140">
        <v>14315076</v>
      </c>
    </row>
    <row r="48" spans="1:26" ht="15.75" customHeight="1" x14ac:dyDescent="0.2">
      <c r="A48" s="121" t="s">
        <v>196</v>
      </c>
      <c r="B48" s="135">
        <v>202364731</v>
      </c>
      <c r="C48" s="420">
        <v>201613295</v>
      </c>
      <c r="D48" s="420">
        <f t="shared" si="0"/>
        <v>751436</v>
      </c>
      <c r="E48" s="420">
        <v>428946</v>
      </c>
      <c r="F48" s="129">
        <f t="shared" si="1"/>
        <v>322490</v>
      </c>
      <c r="G48" s="135">
        <v>-32067</v>
      </c>
      <c r="H48" s="420">
        <v>187345</v>
      </c>
      <c r="I48" s="420">
        <v>4159900</v>
      </c>
      <c r="J48" s="420">
        <v>0</v>
      </c>
      <c r="K48" s="420">
        <f t="shared" ref="K48:K50" si="28">SUM(G48:I48)-J48</f>
        <v>4315178</v>
      </c>
      <c r="L48" s="844" t="s">
        <v>649</v>
      </c>
      <c r="M48" s="135">
        <v>75354939</v>
      </c>
      <c r="N48" s="420">
        <v>62928021</v>
      </c>
      <c r="O48" s="420">
        <v>100574335</v>
      </c>
      <c r="P48" s="845">
        <v>0.84</v>
      </c>
      <c r="Q48" s="423">
        <v>97.4</v>
      </c>
      <c r="R48" s="423">
        <v>13.7</v>
      </c>
      <c r="S48" s="745">
        <v>0.3</v>
      </c>
      <c r="T48" s="850">
        <v>12.1</v>
      </c>
      <c r="U48" s="423">
        <v>67.599999999999994</v>
      </c>
      <c r="V48" s="420">
        <v>28606246</v>
      </c>
      <c r="W48" s="420">
        <v>232253917</v>
      </c>
      <c r="X48" s="420">
        <v>720000</v>
      </c>
      <c r="Y48" s="129">
        <v>29079878</v>
      </c>
      <c r="Z48" s="129">
        <v>6954971</v>
      </c>
    </row>
    <row r="49" spans="1:26" ht="15.75" customHeight="1" x14ac:dyDescent="0.2">
      <c r="A49" s="169" t="s">
        <v>197</v>
      </c>
      <c r="B49" s="145">
        <v>106789503</v>
      </c>
      <c r="C49" s="397">
        <v>106022561</v>
      </c>
      <c r="D49" s="397">
        <f t="shared" si="0"/>
        <v>766942</v>
      </c>
      <c r="E49" s="397">
        <v>81417</v>
      </c>
      <c r="F49" s="140">
        <f t="shared" si="1"/>
        <v>685525</v>
      </c>
      <c r="G49" s="145">
        <v>-215395</v>
      </c>
      <c r="H49" s="397">
        <v>316532</v>
      </c>
      <c r="I49" s="397">
        <v>0</v>
      </c>
      <c r="J49" s="397">
        <v>600000</v>
      </c>
      <c r="K49" s="397">
        <f t="shared" si="28"/>
        <v>-498863</v>
      </c>
      <c r="L49" s="847" t="s">
        <v>649</v>
      </c>
      <c r="M49" s="145">
        <v>45565672</v>
      </c>
      <c r="N49" s="397">
        <v>35736507</v>
      </c>
      <c r="O49" s="397">
        <v>60155403</v>
      </c>
      <c r="P49" s="848">
        <v>0.79300000000000004</v>
      </c>
      <c r="Q49" s="403">
        <v>94.5</v>
      </c>
      <c r="R49" s="403">
        <v>16.8</v>
      </c>
      <c r="S49" s="741">
        <v>1.1000000000000001</v>
      </c>
      <c r="T49" s="849">
        <v>3</v>
      </c>
      <c r="U49" s="403">
        <v>25.5</v>
      </c>
      <c r="V49" s="397">
        <v>14169462</v>
      </c>
      <c r="W49" s="397">
        <v>119352087</v>
      </c>
      <c r="X49" s="397">
        <v>0</v>
      </c>
      <c r="Y49" s="140">
        <v>23368672</v>
      </c>
      <c r="Z49" s="140">
        <v>9053318</v>
      </c>
    </row>
    <row r="50" spans="1:26" ht="15.75" customHeight="1" x14ac:dyDescent="0.2">
      <c r="A50" s="121" t="s">
        <v>198</v>
      </c>
      <c r="B50" s="135">
        <v>175699538</v>
      </c>
      <c r="C50" s="420">
        <v>174383943</v>
      </c>
      <c r="D50" s="420">
        <f t="shared" si="0"/>
        <v>1315595</v>
      </c>
      <c r="E50" s="420">
        <v>698420</v>
      </c>
      <c r="F50" s="129">
        <f t="shared" si="1"/>
        <v>617175</v>
      </c>
      <c r="G50" s="135">
        <v>-106206</v>
      </c>
      <c r="H50" s="420">
        <v>363113</v>
      </c>
      <c r="I50" s="420">
        <v>0</v>
      </c>
      <c r="J50" s="420">
        <v>5300000</v>
      </c>
      <c r="K50" s="420">
        <f t="shared" si="28"/>
        <v>-5043093</v>
      </c>
      <c r="L50" s="844" t="s">
        <v>649</v>
      </c>
      <c r="M50" s="135">
        <v>71388267</v>
      </c>
      <c r="N50" s="420">
        <v>68399527</v>
      </c>
      <c r="O50" s="420">
        <v>96281582</v>
      </c>
      <c r="P50" s="845">
        <v>0.95199999999999996</v>
      </c>
      <c r="Q50" s="423">
        <v>99.6</v>
      </c>
      <c r="R50" s="423">
        <v>20</v>
      </c>
      <c r="S50" s="745">
        <v>0.64</v>
      </c>
      <c r="T50" s="846">
        <v>3.3</v>
      </c>
      <c r="U50" s="423">
        <v>6.3</v>
      </c>
      <c r="V50" s="420">
        <v>28334523</v>
      </c>
      <c r="W50" s="420">
        <v>136232758</v>
      </c>
      <c r="X50" s="420" t="s">
        <v>143</v>
      </c>
      <c r="Y50" s="129">
        <v>59168780</v>
      </c>
      <c r="Z50" s="129">
        <v>17558381</v>
      </c>
    </row>
    <row r="51" spans="1:26" ht="15.75" customHeight="1" x14ac:dyDescent="0.2">
      <c r="A51" s="169" t="s">
        <v>200</v>
      </c>
      <c r="B51" s="145">
        <v>129638575</v>
      </c>
      <c r="C51" s="397">
        <v>128910579</v>
      </c>
      <c r="D51" s="456">
        <f>B51-C51</f>
        <v>727996</v>
      </c>
      <c r="E51" s="397">
        <v>137029</v>
      </c>
      <c r="F51" s="140">
        <v>590967</v>
      </c>
      <c r="G51" s="145">
        <v>126885</v>
      </c>
      <c r="H51" s="397">
        <v>150</v>
      </c>
      <c r="I51" s="397" t="s">
        <v>143</v>
      </c>
      <c r="J51" s="397" t="s">
        <v>143</v>
      </c>
      <c r="K51" s="397">
        <v>127035</v>
      </c>
      <c r="L51" s="847" t="s">
        <v>649</v>
      </c>
      <c r="M51" s="145">
        <v>57478270</v>
      </c>
      <c r="N51" s="397">
        <v>44153909</v>
      </c>
      <c r="O51" s="397">
        <v>76173401</v>
      </c>
      <c r="P51" s="848">
        <v>0.77100000000000002</v>
      </c>
      <c r="Q51" s="403">
        <v>99.7</v>
      </c>
      <c r="R51" s="403">
        <v>17.5</v>
      </c>
      <c r="S51" s="741">
        <v>0.8</v>
      </c>
      <c r="T51" s="849">
        <v>11.2</v>
      </c>
      <c r="U51" s="403">
        <v>137.30000000000001</v>
      </c>
      <c r="V51" s="397">
        <v>7615571</v>
      </c>
      <c r="W51" s="397">
        <v>198058445</v>
      </c>
      <c r="X51" s="397" t="s">
        <v>143</v>
      </c>
      <c r="Y51" s="140">
        <v>21657948</v>
      </c>
      <c r="Z51" s="140">
        <v>1833230</v>
      </c>
    </row>
    <row r="52" spans="1:26" ht="15.75" customHeight="1" x14ac:dyDescent="0.2">
      <c r="A52" s="121" t="s">
        <v>201</v>
      </c>
      <c r="B52" s="193">
        <v>160348563</v>
      </c>
      <c r="C52" s="438">
        <v>159542372</v>
      </c>
      <c r="D52" s="420">
        <f t="shared" ref="D52" si="29">B52-C52</f>
        <v>806191</v>
      </c>
      <c r="E52" s="438">
        <v>453204</v>
      </c>
      <c r="F52" s="129">
        <f t="shared" ref="F52" si="30">D52-E52</f>
        <v>352987</v>
      </c>
      <c r="G52" s="193">
        <v>-32515</v>
      </c>
      <c r="H52" s="438">
        <v>657806</v>
      </c>
      <c r="I52" s="438">
        <v>60</v>
      </c>
      <c r="J52" s="438">
        <v>3240000</v>
      </c>
      <c r="K52" s="420">
        <f>SUM(G52:I52)-J52</f>
        <v>-2614649</v>
      </c>
      <c r="L52" s="855" t="s">
        <v>649</v>
      </c>
      <c r="M52" s="193">
        <v>59989127</v>
      </c>
      <c r="N52" s="438">
        <v>48799227</v>
      </c>
      <c r="O52" s="438">
        <v>80043035</v>
      </c>
      <c r="P52" s="856">
        <v>0.82</v>
      </c>
      <c r="Q52" s="161">
        <v>99.4</v>
      </c>
      <c r="R52" s="161">
        <v>15.6</v>
      </c>
      <c r="S52" s="747">
        <v>0.44</v>
      </c>
      <c r="T52" s="857">
        <v>11.3</v>
      </c>
      <c r="U52" s="161">
        <v>127.6</v>
      </c>
      <c r="V52" s="438">
        <v>7634066</v>
      </c>
      <c r="W52" s="438">
        <v>182557544</v>
      </c>
      <c r="X52" s="438" t="s">
        <v>143</v>
      </c>
      <c r="Y52" s="202">
        <v>29764556</v>
      </c>
      <c r="Z52" s="202">
        <v>4724754</v>
      </c>
    </row>
    <row r="53" spans="1:26" ht="15.75" customHeight="1" x14ac:dyDescent="0.2">
      <c r="A53" s="169" t="s">
        <v>202</v>
      </c>
      <c r="B53" s="145">
        <v>104317163</v>
      </c>
      <c r="C53" s="397">
        <v>102166213</v>
      </c>
      <c r="D53" s="456">
        <v>2150950</v>
      </c>
      <c r="E53" s="397">
        <v>240264</v>
      </c>
      <c r="F53" s="140">
        <v>1910686</v>
      </c>
      <c r="G53" s="145">
        <v>-287272</v>
      </c>
      <c r="H53" s="397">
        <v>334406</v>
      </c>
      <c r="I53" s="397">
        <v>508</v>
      </c>
      <c r="J53" s="397">
        <v>0</v>
      </c>
      <c r="K53" s="397">
        <v>47642</v>
      </c>
      <c r="L53" s="847" t="s">
        <v>649</v>
      </c>
      <c r="M53" s="145">
        <v>41354512</v>
      </c>
      <c r="N53" s="397">
        <v>20925098</v>
      </c>
      <c r="O53" s="397">
        <v>50441991</v>
      </c>
      <c r="P53" s="848">
        <v>0.50600000000000001</v>
      </c>
      <c r="Q53" s="403">
        <v>87.9</v>
      </c>
      <c r="R53" s="403">
        <v>12</v>
      </c>
      <c r="S53" s="741">
        <v>3.8</v>
      </c>
      <c r="T53" s="849">
        <v>9.8000000000000007</v>
      </c>
      <c r="U53" s="403">
        <v>69.599999999999994</v>
      </c>
      <c r="V53" s="397">
        <v>11726089</v>
      </c>
      <c r="W53" s="397">
        <v>110750466</v>
      </c>
      <c r="X53" s="397" t="s">
        <v>143</v>
      </c>
      <c r="Y53" s="140">
        <v>16203637</v>
      </c>
      <c r="Z53" s="140">
        <v>3758768</v>
      </c>
    </row>
    <row r="54" spans="1:26" ht="15.75" customHeight="1" x14ac:dyDescent="0.2">
      <c r="A54" s="121" t="s">
        <v>203</v>
      </c>
      <c r="B54" s="135">
        <v>102009122</v>
      </c>
      <c r="C54" s="420">
        <v>100297785</v>
      </c>
      <c r="D54" s="420">
        <f t="shared" si="0"/>
        <v>1711337</v>
      </c>
      <c r="E54" s="420">
        <v>180070</v>
      </c>
      <c r="F54" s="129">
        <f t="shared" si="1"/>
        <v>1531267</v>
      </c>
      <c r="G54" s="135">
        <v>-2712</v>
      </c>
      <c r="H54" s="420">
        <v>682131</v>
      </c>
      <c r="I54" s="420">
        <v>485288</v>
      </c>
      <c r="J54" s="420" t="s">
        <v>143</v>
      </c>
      <c r="K54" s="420">
        <f t="shared" ref="K54" si="31">SUM(G54:I54)-J54</f>
        <v>1164707</v>
      </c>
      <c r="L54" s="844" t="s">
        <v>649</v>
      </c>
      <c r="M54" s="135">
        <v>43795047</v>
      </c>
      <c r="N54" s="420">
        <v>25052810</v>
      </c>
      <c r="O54" s="420">
        <v>54570903</v>
      </c>
      <c r="P54" s="845">
        <v>0.57699999999999996</v>
      </c>
      <c r="Q54" s="423">
        <v>90.3</v>
      </c>
      <c r="R54" s="423">
        <v>14.2</v>
      </c>
      <c r="S54" s="745">
        <v>2.8</v>
      </c>
      <c r="T54" s="850">
        <v>12.5</v>
      </c>
      <c r="U54" s="423">
        <v>83.6</v>
      </c>
      <c r="V54" s="420">
        <v>14418584</v>
      </c>
      <c r="W54" s="420">
        <v>109127641</v>
      </c>
      <c r="X54" s="420" t="s">
        <v>143</v>
      </c>
      <c r="Y54" s="129">
        <v>21753873</v>
      </c>
      <c r="Z54" s="129">
        <v>4376945</v>
      </c>
    </row>
    <row r="55" spans="1:26" ht="15.75" customHeight="1" x14ac:dyDescent="0.2">
      <c r="A55" s="169" t="s">
        <v>204</v>
      </c>
      <c r="B55" s="145">
        <v>212526933</v>
      </c>
      <c r="C55" s="397">
        <v>204939250</v>
      </c>
      <c r="D55" s="397">
        <f t="shared" si="0"/>
        <v>7587683</v>
      </c>
      <c r="E55" s="397">
        <v>1268309</v>
      </c>
      <c r="F55" s="140">
        <f t="shared" si="1"/>
        <v>6319374</v>
      </c>
      <c r="G55" s="145">
        <v>736157</v>
      </c>
      <c r="H55" s="397">
        <v>3407753</v>
      </c>
      <c r="I55" s="397">
        <v>750000</v>
      </c>
      <c r="J55" s="397">
        <v>1930000</v>
      </c>
      <c r="K55" s="397">
        <f t="shared" si="21"/>
        <v>2963910</v>
      </c>
      <c r="L55" s="847" t="s">
        <v>649</v>
      </c>
      <c r="M55" s="145">
        <v>79793872</v>
      </c>
      <c r="N55" s="397">
        <v>70005677</v>
      </c>
      <c r="O55" s="397">
        <v>106994822</v>
      </c>
      <c r="P55" s="848">
        <v>0.873</v>
      </c>
      <c r="Q55" s="403">
        <v>90.1</v>
      </c>
      <c r="R55" s="403">
        <v>13.6</v>
      </c>
      <c r="S55" s="741">
        <v>5.9</v>
      </c>
      <c r="T55" s="849">
        <v>4.7</v>
      </c>
      <c r="U55" s="403">
        <v>43.1</v>
      </c>
      <c r="V55" s="397">
        <v>33958618</v>
      </c>
      <c r="W55" s="397">
        <v>189968690</v>
      </c>
      <c r="X55" s="397">
        <v>1200000</v>
      </c>
      <c r="Y55" s="140">
        <v>53867987</v>
      </c>
      <c r="Z55" s="140">
        <v>10731490</v>
      </c>
    </row>
    <row r="56" spans="1:26" ht="15.75" customHeight="1" x14ac:dyDescent="0.2">
      <c r="A56" s="121" t="s">
        <v>254</v>
      </c>
      <c r="B56" s="135">
        <v>109131287</v>
      </c>
      <c r="C56" s="420">
        <v>107329280</v>
      </c>
      <c r="D56" s="420">
        <f t="shared" si="0"/>
        <v>1802007</v>
      </c>
      <c r="E56" s="420">
        <v>828891</v>
      </c>
      <c r="F56" s="129">
        <f t="shared" si="1"/>
        <v>973116</v>
      </c>
      <c r="G56" s="135">
        <v>-1756206</v>
      </c>
      <c r="H56" s="420">
        <v>1565915</v>
      </c>
      <c r="I56" s="420" t="s">
        <v>143</v>
      </c>
      <c r="J56" s="420">
        <v>1000000</v>
      </c>
      <c r="K56" s="420">
        <f t="shared" si="21"/>
        <v>-1190291</v>
      </c>
      <c r="L56" s="844" t="s">
        <v>649</v>
      </c>
      <c r="M56" s="135">
        <v>44193130</v>
      </c>
      <c r="N56" s="420">
        <v>26620157</v>
      </c>
      <c r="O56" s="420">
        <v>55185392</v>
      </c>
      <c r="P56" s="845">
        <v>0.61</v>
      </c>
      <c r="Q56" s="423">
        <v>98</v>
      </c>
      <c r="R56" s="423">
        <v>16.100000000000001</v>
      </c>
      <c r="S56" s="745">
        <v>1.8</v>
      </c>
      <c r="T56" s="850">
        <v>9.3000000000000007</v>
      </c>
      <c r="U56" s="423">
        <v>74.400000000000006</v>
      </c>
      <c r="V56" s="420">
        <v>11188272</v>
      </c>
      <c r="W56" s="420">
        <v>123214673</v>
      </c>
      <c r="X56" s="420" t="s">
        <v>143</v>
      </c>
      <c r="Y56" s="129">
        <v>40447452</v>
      </c>
      <c r="Z56" s="129">
        <v>5937414</v>
      </c>
    </row>
    <row r="57" spans="1:26" ht="15.75" customHeight="1" x14ac:dyDescent="0.2">
      <c r="A57" s="169" t="s">
        <v>207</v>
      </c>
      <c r="B57" s="145">
        <v>187677527</v>
      </c>
      <c r="C57" s="397">
        <v>182024428</v>
      </c>
      <c r="D57" s="397">
        <f t="shared" si="0"/>
        <v>5653099</v>
      </c>
      <c r="E57" s="397">
        <v>2025538</v>
      </c>
      <c r="F57" s="140">
        <f t="shared" si="1"/>
        <v>3627561</v>
      </c>
      <c r="G57" s="145">
        <v>2841034</v>
      </c>
      <c r="H57" s="397">
        <v>1440733</v>
      </c>
      <c r="I57" s="397">
        <v>1080880</v>
      </c>
      <c r="J57" s="397" t="s">
        <v>143</v>
      </c>
      <c r="K57" s="397">
        <f t="shared" ref="K57" si="32">SUM(G57:I57)-J57</f>
        <v>5362647</v>
      </c>
      <c r="L57" s="847" t="s">
        <v>649</v>
      </c>
      <c r="M57" s="145">
        <v>76304937</v>
      </c>
      <c r="N57" s="397">
        <v>61850980</v>
      </c>
      <c r="O57" s="397">
        <v>101797875</v>
      </c>
      <c r="P57" s="848">
        <v>0.82</v>
      </c>
      <c r="Q57" s="403">
        <v>84.8</v>
      </c>
      <c r="R57" s="403">
        <v>13.2</v>
      </c>
      <c r="S57" s="741">
        <v>3.6</v>
      </c>
      <c r="T57" s="849">
        <v>1.4</v>
      </c>
      <c r="U57" s="403" t="s">
        <v>143</v>
      </c>
      <c r="V57" s="397">
        <v>43160340</v>
      </c>
      <c r="W57" s="397">
        <v>146298460</v>
      </c>
      <c r="X57" s="858" t="s">
        <v>143</v>
      </c>
      <c r="Y57" s="140">
        <v>25374667</v>
      </c>
      <c r="Z57" s="140">
        <v>21972700</v>
      </c>
    </row>
    <row r="58" spans="1:26" ht="15.75" customHeight="1" x14ac:dyDescent="0.2">
      <c r="A58" s="121" t="s">
        <v>209</v>
      </c>
      <c r="B58" s="193">
        <v>122097715</v>
      </c>
      <c r="C58" s="438">
        <v>119597727</v>
      </c>
      <c r="D58" s="438">
        <v>2499988</v>
      </c>
      <c r="E58" s="438">
        <v>134896</v>
      </c>
      <c r="F58" s="202">
        <v>2365092</v>
      </c>
      <c r="G58" s="193">
        <v>-226065</v>
      </c>
      <c r="H58" s="438">
        <v>1508107</v>
      </c>
      <c r="I58" s="810" t="s">
        <v>143</v>
      </c>
      <c r="J58" s="438">
        <v>2200000</v>
      </c>
      <c r="K58" s="438">
        <v>-917958</v>
      </c>
      <c r="L58" s="855" t="s">
        <v>649</v>
      </c>
      <c r="M58" s="193">
        <v>53595596</v>
      </c>
      <c r="N58" s="438">
        <v>29246793</v>
      </c>
      <c r="O58" s="438">
        <v>65442475</v>
      </c>
      <c r="P58" s="856">
        <v>0.54900000000000004</v>
      </c>
      <c r="Q58" s="161">
        <v>99.1</v>
      </c>
      <c r="R58" s="161">
        <v>17.5</v>
      </c>
      <c r="S58" s="747">
        <v>3.6</v>
      </c>
      <c r="T58" s="857">
        <v>9.8000000000000007</v>
      </c>
      <c r="U58" s="161">
        <v>82.2</v>
      </c>
      <c r="V58" s="438">
        <v>12665426</v>
      </c>
      <c r="W58" s="438">
        <v>147003465</v>
      </c>
      <c r="X58" s="810">
        <v>700000</v>
      </c>
      <c r="Y58" s="202">
        <v>10195088</v>
      </c>
      <c r="Z58" s="202">
        <v>6178423</v>
      </c>
    </row>
    <row r="59" spans="1:26" ht="15.75" customHeight="1" x14ac:dyDescent="0.2">
      <c r="A59" s="169" t="s">
        <v>210</v>
      </c>
      <c r="B59" s="145">
        <v>158160408</v>
      </c>
      <c r="C59" s="397">
        <v>154356762</v>
      </c>
      <c r="D59" s="397">
        <v>3803646</v>
      </c>
      <c r="E59" s="397">
        <v>1069915</v>
      </c>
      <c r="F59" s="140">
        <v>2733731</v>
      </c>
      <c r="G59" s="145">
        <v>654606</v>
      </c>
      <c r="H59" s="397">
        <v>4228</v>
      </c>
      <c r="I59" s="397">
        <v>129579</v>
      </c>
      <c r="J59" s="397">
        <v>2800000</v>
      </c>
      <c r="K59" s="397">
        <v>-2011587</v>
      </c>
      <c r="L59" s="847" t="s">
        <v>649</v>
      </c>
      <c r="M59" s="145">
        <v>69998041</v>
      </c>
      <c r="N59" s="397">
        <v>57005628</v>
      </c>
      <c r="O59" s="397">
        <v>94096407</v>
      </c>
      <c r="P59" s="848">
        <v>0.82399999999999995</v>
      </c>
      <c r="Q59" s="403">
        <v>93.4</v>
      </c>
      <c r="R59" s="403">
        <v>19.3</v>
      </c>
      <c r="S59" s="741">
        <v>2.9</v>
      </c>
      <c r="T59" s="849">
        <v>7.8</v>
      </c>
      <c r="U59" s="403">
        <v>77.099999999999994</v>
      </c>
      <c r="V59" s="397">
        <v>14645360</v>
      </c>
      <c r="W59" s="397">
        <v>177180858</v>
      </c>
      <c r="X59" s="397">
        <v>60000</v>
      </c>
      <c r="Y59" s="140">
        <v>69959671</v>
      </c>
      <c r="Z59" s="140">
        <v>7942729</v>
      </c>
    </row>
    <row r="60" spans="1:26" ht="15.75" customHeight="1" x14ac:dyDescent="0.2">
      <c r="A60" s="121" t="s">
        <v>212</v>
      </c>
      <c r="B60" s="135">
        <v>189126348</v>
      </c>
      <c r="C60" s="420">
        <v>184132428</v>
      </c>
      <c r="D60" s="420">
        <v>4993920</v>
      </c>
      <c r="E60" s="420">
        <v>2022228</v>
      </c>
      <c r="F60" s="129">
        <v>2971692</v>
      </c>
      <c r="G60" s="135">
        <v>-326968</v>
      </c>
      <c r="H60" s="420">
        <v>300000</v>
      </c>
      <c r="I60" s="420" t="s">
        <v>143</v>
      </c>
      <c r="J60" s="420">
        <v>1000000</v>
      </c>
      <c r="K60" s="420">
        <v>-1026968</v>
      </c>
      <c r="L60" s="844" t="s">
        <v>649</v>
      </c>
      <c r="M60" s="135">
        <v>81667664</v>
      </c>
      <c r="N60" s="420">
        <v>62278877</v>
      </c>
      <c r="O60" s="420">
        <v>106878973</v>
      </c>
      <c r="P60" s="845">
        <v>0.76600000000000001</v>
      </c>
      <c r="Q60" s="423">
        <v>89.4</v>
      </c>
      <c r="R60" s="423">
        <v>13.7</v>
      </c>
      <c r="S60" s="745">
        <v>2.8</v>
      </c>
      <c r="T60" s="850">
        <v>7.7</v>
      </c>
      <c r="U60" s="423">
        <v>51.8</v>
      </c>
      <c r="V60" s="420">
        <v>47422887</v>
      </c>
      <c r="W60" s="420">
        <v>175291270</v>
      </c>
      <c r="X60" s="420" t="s">
        <v>143</v>
      </c>
      <c r="Y60" s="129">
        <v>42228216</v>
      </c>
      <c r="Z60" s="129">
        <v>18600000</v>
      </c>
    </row>
    <row r="61" spans="1:26" ht="15.75" customHeight="1" x14ac:dyDescent="0.2">
      <c r="A61" s="169" t="s">
        <v>213</v>
      </c>
      <c r="B61" s="145">
        <v>159101814</v>
      </c>
      <c r="C61" s="397">
        <v>157773862</v>
      </c>
      <c r="D61" s="397">
        <v>1327952</v>
      </c>
      <c r="E61" s="397">
        <v>922338</v>
      </c>
      <c r="F61" s="140">
        <v>405614</v>
      </c>
      <c r="G61" s="145">
        <v>-68818</v>
      </c>
      <c r="H61" s="397">
        <v>2343</v>
      </c>
      <c r="I61" s="397">
        <v>175</v>
      </c>
      <c r="J61" s="397">
        <v>300000</v>
      </c>
      <c r="K61" s="397">
        <v>-366300</v>
      </c>
      <c r="L61" s="847" t="s">
        <v>649</v>
      </c>
      <c r="M61" s="145">
        <v>62597397</v>
      </c>
      <c r="N61" s="397">
        <v>39433592</v>
      </c>
      <c r="O61" s="397">
        <v>78603438</v>
      </c>
      <c r="P61" s="848">
        <v>0.63</v>
      </c>
      <c r="Q61" s="403">
        <v>97.8</v>
      </c>
      <c r="R61" s="403">
        <v>13</v>
      </c>
      <c r="S61" s="741">
        <v>0.5</v>
      </c>
      <c r="T61" s="849">
        <v>14</v>
      </c>
      <c r="U61" s="403">
        <v>180.2</v>
      </c>
      <c r="V61" s="397">
        <v>10150837</v>
      </c>
      <c r="W61" s="397">
        <v>210720969</v>
      </c>
      <c r="X61" s="397">
        <v>8530</v>
      </c>
      <c r="Y61" s="140">
        <v>7969730</v>
      </c>
      <c r="Z61" s="140">
        <v>2836114</v>
      </c>
    </row>
    <row r="62" spans="1:26" ht="15.75" customHeight="1" x14ac:dyDescent="0.2">
      <c r="A62" s="121" t="s">
        <v>215</v>
      </c>
      <c r="B62" s="135">
        <v>130099649</v>
      </c>
      <c r="C62" s="420">
        <v>128833584</v>
      </c>
      <c r="D62" s="420">
        <f t="shared" ref="D62" si="33">B62-C62</f>
        <v>1266065</v>
      </c>
      <c r="E62" s="420">
        <v>413395</v>
      </c>
      <c r="F62" s="129">
        <f t="shared" ref="F62" si="34">D62-E62</f>
        <v>852670</v>
      </c>
      <c r="G62" s="135">
        <v>-147052</v>
      </c>
      <c r="H62" s="420">
        <v>17168</v>
      </c>
      <c r="I62" s="420" t="s">
        <v>143</v>
      </c>
      <c r="J62" s="420">
        <v>2000000</v>
      </c>
      <c r="K62" s="420">
        <f t="shared" ref="K62" si="35">SUM(G62:I62)-J62</f>
        <v>-2129884</v>
      </c>
      <c r="L62" s="844" t="s">
        <v>649</v>
      </c>
      <c r="M62" s="135">
        <v>54196580</v>
      </c>
      <c r="N62" s="420">
        <v>36765808</v>
      </c>
      <c r="O62" s="420">
        <v>69154492</v>
      </c>
      <c r="P62" s="845">
        <v>0.67</v>
      </c>
      <c r="Q62" s="423">
        <v>99.9</v>
      </c>
      <c r="R62" s="423">
        <v>11.7</v>
      </c>
      <c r="S62" s="745">
        <v>1.2</v>
      </c>
      <c r="T62" s="850">
        <v>3.7</v>
      </c>
      <c r="U62" s="423">
        <v>32.5</v>
      </c>
      <c r="V62" s="420">
        <v>13903677</v>
      </c>
      <c r="W62" s="420">
        <v>142471449</v>
      </c>
      <c r="X62" s="420">
        <v>180000</v>
      </c>
      <c r="Y62" s="129">
        <v>29622054</v>
      </c>
      <c r="Z62" s="129">
        <v>5634209</v>
      </c>
    </row>
    <row r="63" spans="1:26" ht="15.75" customHeight="1" x14ac:dyDescent="0.2">
      <c r="A63" s="169" t="s">
        <v>216</v>
      </c>
      <c r="B63" s="434">
        <v>218376604</v>
      </c>
      <c r="C63" s="397">
        <v>213222346</v>
      </c>
      <c r="D63" s="397">
        <v>5154258</v>
      </c>
      <c r="E63" s="397">
        <v>1799542</v>
      </c>
      <c r="F63" s="140">
        <v>3354716</v>
      </c>
      <c r="G63" s="145">
        <v>935455</v>
      </c>
      <c r="H63" s="397">
        <v>1160578</v>
      </c>
      <c r="I63" s="397">
        <v>0</v>
      </c>
      <c r="J63" s="397">
        <v>1469245</v>
      </c>
      <c r="K63" s="397">
        <v>626788</v>
      </c>
      <c r="L63" s="847" t="s">
        <v>649</v>
      </c>
      <c r="M63" s="434">
        <v>79687803</v>
      </c>
      <c r="N63" s="397">
        <v>46349903</v>
      </c>
      <c r="O63" s="397">
        <v>98722898</v>
      </c>
      <c r="P63" s="848">
        <v>0.59</v>
      </c>
      <c r="Q63" s="403">
        <v>97.6</v>
      </c>
      <c r="R63" s="403">
        <v>12</v>
      </c>
      <c r="S63" s="741">
        <v>3.4</v>
      </c>
      <c r="T63" s="849">
        <v>7.9</v>
      </c>
      <c r="U63" s="403">
        <v>82.7</v>
      </c>
      <c r="V63" s="397">
        <v>46418607</v>
      </c>
      <c r="W63" s="397">
        <v>256001368</v>
      </c>
      <c r="X63" s="397">
        <v>0</v>
      </c>
      <c r="Y63" s="140">
        <v>46708156</v>
      </c>
      <c r="Z63" s="140">
        <v>12162937</v>
      </c>
    </row>
    <row r="64" spans="1:26" ht="15.75" customHeight="1" x14ac:dyDescent="0.2">
      <c r="A64" s="121" t="s">
        <v>217</v>
      </c>
      <c r="B64" s="422">
        <v>136677733</v>
      </c>
      <c r="C64" s="420">
        <v>132355607</v>
      </c>
      <c r="D64" s="420">
        <v>4322126</v>
      </c>
      <c r="E64" s="420">
        <v>1063350</v>
      </c>
      <c r="F64" s="129">
        <v>3258776</v>
      </c>
      <c r="G64" s="422">
        <v>-314347</v>
      </c>
      <c r="H64" s="420">
        <v>2169679</v>
      </c>
      <c r="I64" s="420">
        <v>106100</v>
      </c>
      <c r="J64" s="420">
        <v>1180224</v>
      </c>
      <c r="K64" s="420">
        <v>781208</v>
      </c>
      <c r="L64" s="844" t="s">
        <v>649</v>
      </c>
      <c r="M64" s="422">
        <v>48759196</v>
      </c>
      <c r="N64" s="420">
        <v>26002272</v>
      </c>
      <c r="O64" s="421">
        <v>59525723</v>
      </c>
      <c r="P64" s="845">
        <v>0.53</v>
      </c>
      <c r="Q64" s="423">
        <v>92.5</v>
      </c>
      <c r="R64" s="423">
        <v>12.9</v>
      </c>
      <c r="S64" s="745">
        <v>5.5</v>
      </c>
      <c r="T64" s="850">
        <v>4.5</v>
      </c>
      <c r="U64" s="423" t="s">
        <v>143</v>
      </c>
      <c r="V64" s="420">
        <v>21983467</v>
      </c>
      <c r="W64" s="420">
        <v>109570586</v>
      </c>
      <c r="X64" s="420">
        <v>10000</v>
      </c>
      <c r="Y64" s="129">
        <v>16624463</v>
      </c>
      <c r="Z64" s="129">
        <v>5566576</v>
      </c>
    </row>
    <row r="65" spans="1:26" ht="15.75" customHeight="1" x14ac:dyDescent="0.2">
      <c r="A65" s="169" t="s">
        <v>219</v>
      </c>
      <c r="B65" s="434">
        <v>182512852</v>
      </c>
      <c r="C65" s="397">
        <v>180155093</v>
      </c>
      <c r="D65" s="397">
        <f t="shared" ref="D65" si="36">B65-C65</f>
        <v>2357759</v>
      </c>
      <c r="E65" s="397">
        <v>588492</v>
      </c>
      <c r="F65" s="140">
        <f t="shared" ref="F65" si="37">D65-E65</f>
        <v>1769267</v>
      </c>
      <c r="G65" s="145">
        <v>-2095803</v>
      </c>
      <c r="H65" s="397">
        <v>1401</v>
      </c>
      <c r="I65" s="397" t="s">
        <v>143</v>
      </c>
      <c r="J65" s="397" t="s">
        <v>143</v>
      </c>
      <c r="K65" s="397">
        <f t="shared" ref="K65" si="38">SUM(G65:I65)-J65</f>
        <v>-2094402</v>
      </c>
      <c r="L65" s="847" t="s">
        <v>649</v>
      </c>
      <c r="M65" s="434">
        <v>73809564</v>
      </c>
      <c r="N65" s="397">
        <v>66226487</v>
      </c>
      <c r="O65" s="397">
        <v>99354794</v>
      </c>
      <c r="P65" s="848">
        <v>0.90400000000000003</v>
      </c>
      <c r="Q65" s="403">
        <v>95.1</v>
      </c>
      <c r="R65" s="403">
        <v>15.3</v>
      </c>
      <c r="S65" s="741">
        <v>1.8</v>
      </c>
      <c r="T65" s="849">
        <v>5.0999999999999996</v>
      </c>
      <c r="U65" s="403">
        <v>36.1</v>
      </c>
      <c r="V65" s="397">
        <v>27409047</v>
      </c>
      <c r="W65" s="397">
        <v>168364164</v>
      </c>
      <c r="X65" s="397" t="s">
        <v>143</v>
      </c>
      <c r="Y65" s="140">
        <v>38370371</v>
      </c>
      <c r="Z65" s="140">
        <v>6757292</v>
      </c>
    </row>
    <row r="66" spans="1:26" ht="15.75" customHeight="1" x14ac:dyDescent="0.2">
      <c r="A66" s="121" t="s">
        <v>220</v>
      </c>
      <c r="B66" s="422">
        <v>166731088</v>
      </c>
      <c r="C66" s="420">
        <v>163312091</v>
      </c>
      <c r="D66" s="420">
        <v>3418997</v>
      </c>
      <c r="E66" s="420">
        <v>727016</v>
      </c>
      <c r="F66" s="129">
        <v>2691981</v>
      </c>
      <c r="G66" s="422">
        <v>-664061</v>
      </c>
      <c r="H66" s="420">
        <v>40083</v>
      </c>
      <c r="I66" s="420" t="s">
        <v>143</v>
      </c>
      <c r="J66" s="420">
        <v>3010657</v>
      </c>
      <c r="K66" s="420">
        <v>-3634635</v>
      </c>
      <c r="L66" s="844" t="s">
        <v>649</v>
      </c>
      <c r="M66" s="422">
        <v>69091208</v>
      </c>
      <c r="N66" s="420">
        <v>47748506</v>
      </c>
      <c r="O66" s="421">
        <v>88466269</v>
      </c>
      <c r="P66" s="845">
        <v>0.68200000000000005</v>
      </c>
      <c r="Q66" s="423">
        <v>93.4</v>
      </c>
      <c r="R66" s="423">
        <v>12.5</v>
      </c>
      <c r="S66" s="745">
        <v>3</v>
      </c>
      <c r="T66" s="850">
        <v>6.8</v>
      </c>
      <c r="U66" s="423">
        <v>40.299999999999997</v>
      </c>
      <c r="V66" s="420">
        <v>29802941</v>
      </c>
      <c r="W66" s="420">
        <v>177714773</v>
      </c>
      <c r="X66" s="420" t="s">
        <v>143</v>
      </c>
      <c r="Y66" s="129">
        <v>39847222</v>
      </c>
      <c r="Z66" s="129">
        <v>10078851</v>
      </c>
    </row>
    <row r="67" spans="1:26" ht="15.75" customHeight="1" x14ac:dyDescent="0.2">
      <c r="A67" s="169" t="s">
        <v>221</v>
      </c>
      <c r="B67" s="434">
        <v>266671114</v>
      </c>
      <c r="C67" s="397">
        <v>260388458</v>
      </c>
      <c r="D67" s="397">
        <v>6282656</v>
      </c>
      <c r="E67" s="397">
        <v>1866567</v>
      </c>
      <c r="F67" s="140">
        <v>4416089</v>
      </c>
      <c r="G67" s="145">
        <v>-1537823</v>
      </c>
      <c r="H67" s="397">
        <v>3555</v>
      </c>
      <c r="I67" s="397" t="s">
        <v>143</v>
      </c>
      <c r="J67" s="397">
        <v>2000000</v>
      </c>
      <c r="K67" s="397">
        <v>-3534268</v>
      </c>
      <c r="L67" s="847" t="s">
        <v>649</v>
      </c>
      <c r="M67" s="145">
        <v>101429815</v>
      </c>
      <c r="N67" s="397">
        <v>72912183</v>
      </c>
      <c r="O67" s="397">
        <v>131713726</v>
      </c>
      <c r="P67" s="848">
        <v>0.72799999999999998</v>
      </c>
      <c r="Q67" s="403">
        <v>92.9</v>
      </c>
      <c r="R67" s="403">
        <v>12.5</v>
      </c>
      <c r="S67" s="741">
        <v>3.4</v>
      </c>
      <c r="T67" s="859">
        <v>2.5</v>
      </c>
      <c r="U67" s="403">
        <v>30</v>
      </c>
      <c r="V67" s="397">
        <v>44439072</v>
      </c>
      <c r="W67" s="397">
        <v>269827981</v>
      </c>
      <c r="X67" s="397" t="s">
        <v>143</v>
      </c>
      <c r="Y67" s="140">
        <v>56669301</v>
      </c>
      <c r="Z67" s="140">
        <v>8724919</v>
      </c>
    </row>
    <row r="68" spans="1:26" ht="15.75" customHeight="1" thickBot="1" x14ac:dyDescent="0.25">
      <c r="A68" s="121" t="s">
        <v>223</v>
      </c>
      <c r="B68" s="135">
        <v>158460871</v>
      </c>
      <c r="C68" s="420">
        <v>152200503</v>
      </c>
      <c r="D68" s="420">
        <f t="shared" ref="D68" si="39">B68-C68</f>
        <v>6260368</v>
      </c>
      <c r="E68" s="420">
        <v>2544992</v>
      </c>
      <c r="F68" s="129">
        <f t="shared" ref="F68" si="40">D68-E68</f>
        <v>3715376</v>
      </c>
      <c r="G68" s="135">
        <v>-749176</v>
      </c>
      <c r="H68" s="420">
        <v>2233369</v>
      </c>
      <c r="I68" s="420">
        <v>0</v>
      </c>
      <c r="J68" s="420">
        <v>2321880</v>
      </c>
      <c r="K68" s="420">
        <f>SUM(G68:I68)-J68</f>
        <v>-837687</v>
      </c>
      <c r="L68" s="844" t="s">
        <v>649</v>
      </c>
      <c r="M68" s="135">
        <v>51769341</v>
      </c>
      <c r="N68" s="420">
        <v>42872369</v>
      </c>
      <c r="O68" s="420">
        <v>69564119</v>
      </c>
      <c r="P68" s="845">
        <v>0.82799999999999996</v>
      </c>
      <c r="Q68" s="423">
        <v>91</v>
      </c>
      <c r="R68" s="423">
        <v>12.1</v>
      </c>
      <c r="S68" s="745">
        <v>5.3</v>
      </c>
      <c r="T68" s="846">
        <v>10.4</v>
      </c>
      <c r="U68" s="423">
        <v>64.900000000000006</v>
      </c>
      <c r="V68" s="420">
        <v>19279576</v>
      </c>
      <c r="W68" s="420">
        <v>132994941</v>
      </c>
      <c r="X68" s="420">
        <v>0</v>
      </c>
      <c r="Y68" s="129">
        <v>36668032</v>
      </c>
      <c r="Z68" s="129">
        <v>5330904</v>
      </c>
    </row>
    <row r="69" spans="1:26" ht="15" customHeight="1" thickTop="1" x14ac:dyDescent="0.2">
      <c r="A69" s="239" t="s">
        <v>224</v>
      </c>
      <c r="B69" s="527">
        <f t="shared" ref="B69:K69" si="41">SUM(B7:B68)</f>
        <v>9374467376</v>
      </c>
      <c r="C69" s="314">
        <f t="shared" si="41"/>
        <v>9134174555</v>
      </c>
      <c r="D69" s="314">
        <f t="shared" si="41"/>
        <v>240292821</v>
      </c>
      <c r="E69" s="314">
        <f t="shared" si="41"/>
        <v>78753241</v>
      </c>
      <c r="F69" s="529">
        <f t="shared" si="41"/>
        <v>161539580</v>
      </c>
      <c r="G69" s="527">
        <f t="shared" si="41"/>
        <v>-3654102</v>
      </c>
      <c r="H69" s="314">
        <f t="shared" si="41"/>
        <v>64512120</v>
      </c>
      <c r="I69" s="314">
        <f t="shared" si="41"/>
        <v>12579257</v>
      </c>
      <c r="J69" s="314">
        <f t="shared" si="41"/>
        <v>102809010</v>
      </c>
      <c r="K69" s="314">
        <f t="shared" si="41"/>
        <v>-29371735</v>
      </c>
      <c r="L69" s="860" t="s">
        <v>139</v>
      </c>
      <c r="M69" s="527">
        <f>SUM(M7:M68)</f>
        <v>3725350452</v>
      </c>
      <c r="N69" s="314">
        <f t="shared" ref="N69:Y69" si="42">SUM(N7:N68)</f>
        <v>3019887029</v>
      </c>
      <c r="O69" s="314">
        <f t="shared" si="42"/>
        <v>4923119071</v>
      </c>
      <c r="P69" s="314" t="s">
        <v>139</v>
      </c>
      <c r="Q69" s="314" t="s">
        <v>139</v>
      </c>
      <c r="R69" s="314" t="s">
        <v>139</v>
      </c>
      <c r="S69" s="529" t="s">
        <v>139</v>
      </c>
      <c r="T69" s="527" t="s">
        <v>139</v>
      </c>
      <c r="U69" s="314" t="s">
        <v>139</v>
      </c>
      <c r="V69" s="314">
        <f t="shared" si="42"/>
        <v>1377449035</v>
      </c>
      <c r="W69" s="314">
        <f t="shared" si="42"/>
        <v>8558588369</v>
      </c>
      <c r="X69" s="314">
        <f t="shared" si="42"/>
        <v>6925836</v>
      </c>
      <c r="Y69" s="529">
        <f t="shared" si="42"/>
        <v>1928771756</v>
      </c>
      <c r="Z69" s="529">
        <f>SUM(Z7:Z68)</f>
        <v>534676264</v>
      </c>
    </row>
    <row r="70" spans="1:26" ht="15" customHeight="1" thickBot="1" x14ac:dyDescent="0.25">
      <c r="A70" s="261" t="s">
        <v>225</v>
      </c>
      <c r="B70" s="548">
        <f>AVERAGE(B7:B68)</f>
        <v>151201086.70967743</v>
      </c>
      <c r="C70" s="545">
        <f t="shared" ref="C70:K70" si="43">AVERAGE(C7:C68)</f>
        <v>147325396.04838711</v>
      </c>
      <c r="D70" s="545">
        <f t="shared" si="43"/>
        <v>3875690.6612903224</v>
      </c>
      <c r="E70" s="545">
        <f t="shared" si="43"/>
        <v>1270213.564516129</v>
      </c>
      <c r="F70" s="546">
        <f t="shared" si="43"/>
        <v>2605477.0967741935</v>
      </c>
      <c r="G70" s="548">
        <f t="shared" si="43"/>
        <v>-58937.129032258068</v>
      </c>
      <c r="H70" s="545">
        <f t="shared" si="43"/>
        <v>1040518.0645161291</v>
      </c>
      <c r="I70" s="545">
        <f t="shared" si="43"/>
        <v>339979.91891891893</v>
      </c>
      <c r="J70" s="545">
        <f t="shared" si="43"/>
        <v>1903870.5555555555</v>
      </c>
      <c r="K70" s="545">
        <f t="shared" si="43"/>
        <v>-473737.66129032261</v>
      </c>
      <c r="L70" s="861" t="s">
        <v>139</v>
      </c>
      <c r="M70" s="548">
        <f>AVERAGE(M7:M68)</f>
        <v>60086297.612903222</v>
      </c>
      <c r="N70" s="545">
        <f t="shared" ref="N70:Y70" si="44">AVERAGE(N7:N68)</f>
        <v>48707855.306451611</v>
      </c>
      <c r="O70" s="545">
        <f t="shared" si="44"/>
        <v>79405146.306451619</v>
      </c>
      <c r="P70" s="862">
        <f t="shared" si="44"/>
        <v>0.80032225806451607</v>
      </c>
      <c r="Q70" s="549">
        <f t="shared" si="44"/>
        <v>93.08064516129032</v>
      </c>
      <c r="R70" s="549">
        <f t="shared" si="44"/>
        <v>14.745161290322585</v>
      </c>
      <c r="S70" s="550">
        <f t="shared" si="44"/>
        <v>3.3131366647734781</v>
      </c>
      <c r="T70" s="1341">
        <f t="shared" si="44"/>
        <v>5.82258064516129</v>
      </c>
      <c r="U70" s="549">
        <f t="shared" si="44"/>
        <v>60.453191489361693</v>
      </c>
      <c r="V70" s="545">
        <f t="shared" si="44"/>
        <v>22216919.919354837</v>
      </c>
      <c r="W70" s="545">
        <f t="shared" si="44"/>
        <v>138041747.88709676</v>
      </c>
      <c r="X70" s="545">
        <f t="shared" si="44"/>
        <v>216432.375</v>
      </c>
      <c r="Y70" s="546">
        <f t="shared" si="44"/>
        <v>31619209.114754099</v>
      </c>
      <c r="Z70" s="546">
        <f>AVERAGE(Z7:Z68)</f>
        <v>8623810.7096774187</v>
      </c>
    </row>
    <row r="71" spans="1:26" ht="12.75" customHeight="1" thickTop="1" x14ac:dyDescent="0.2">
      <c r="A71" s="287" t="s">
        <v>255</v>
      </c>
      <c r="B71" s="402"/>
      <c r="C71" s="402"/>
      <c r="D71" s="402"/>
      <c r="E71" s="402"/>
      <c r="F71" s="402"/>
      <c r="G71" s="402"/>
      <c r="H71" s="402"/>
      <c r="I71" s="402"/>
      <c r="J71" s="402"/>
      <c r="K71" s="402"/>
      <c r="L71" s="863"/>
      <c r="M71" s="284" t="s">
        <v>652</v>
      </c>
      <c r="N71" s="284"/>
      <c r="O71" s="402"/>
      <c r="P71" s="864"/>
      <c r="Q71" s="726"/>
      <c r="R71" s="726"/>
      <c r="S71" s="726"/>
      <c r="T71" s="284" t="s">
        <v>653</v>
      </c>
      <c r="U71" s="726"/>
      <c r="V71" s="402"/>
      <c r="W71" s="402"/>
      <c r="X71" s="402"/>
      <c r="Y71" s="402"/>
      <c r="Z71" s="402"/>
    </row>
    <row r="72" spans="1:26" ht="12.75" customHeight="1" x14ac:dyDescent="0.2">
      <c r="M72" s="284"/>
      <c r="N72" s="284"/>
    </row>
    <row r="73" spans="1:26" ht="12.75" customHeight="1" x14ac:dyDescent="0.2"/>
    <row r="74" spans="1:26" ht="12.75" customHeight="1" x14ac:dyDescent="0.2"/>
    <row r="75" spans="1:26" ht="12.75" customHeight="1" x14ac:dyDescent="0.2"/>
    <row r="76" spans="1:26" ht="12.75" customHeight="1" x14ac:dyDescent="0.2"/>
  </sheetData>
  <autoFilter ref="A6:Z6" xr:uid="{DEE8525F-872D-49B0-A29A-1CE2E1DDA4F4}"/>
  <mergeCells count="24">
    <mergeCell ref="V3:V5"/>
    <mergeCell ref="W3:W5"/>
    <mergeCell ref="X3:X5"/>
    <mergeCell ref="Y3:Y5"/>
    <mergeCell ref="Z3:Z5"/>
    <mergeCell ref="T3:T5"/>
    <mergeCell ref="U3:U5"/>
    <mergeCell ref="H3:H5"/>
    <mergeCell ref="I3:I5"/>
    <mergeCell ref="J3:J5"/>
    <mergeCell ref="M3:M5"/>
    <mergeCell ref="N3:N5"/>
    <mergeCell ref="O3:O5"/>
    <mergeCell ref="L4:L5"/>
    <mergeCell ref="P3:P5"/>
    <mergeCell ref="Q3:Q5"/>
    <mergeCell ref="R3:R5"/>
    <mergeCell ref="S3:S5"/>
    <mergeCell ref="G3:G5"/>
    <mergeCell ref="B3:B5"/>
    <mergeCell ref="C3:C5"/>
    <mergeCell ref="D3:D5"/>
    <mergeCell ref="E3:E5"/>
    <mergeCell ref="F3:F5"/>
  </mergeCells>
  <phoneticPr fontId="2"/>
  <dataValidations count="2">
    <dataValidation allowBlank="1" showInputMessage="1" showErrorMessage="1" sqref="X57" xr:uid="{BB927984-7215-4FE4-BA5F-E4EBA6DC5EFF}"/>
    <dataValidation imeMode="disabled" allowBlank="1" showInputMessage="1" showErrorMessage="1" sqref="X58:X68 Y37:Z68 M37:W68 X37:X56 M7:Z36 B7:K68" xr:uid="{013DACAA-C4E1-46A1-A84D-734A4F4F4185}"/>
  </dataValidations>
  <pageMargins left="0.74803149606299213" right="0.23622047244094491" top="1.1023622047244095" bottom="0.39370078740157483" header="0.59055118110236227" footer="0.31496062992125984"/>
  <pageSetup paperSize="9" scale="72" firstPageNumber="12" fitToWidth="0" orientation="portrait" r:id="rId1"/>
  <headerFooter alignWithMargins="0">
    <oddHeader>&amp;L&amp;"ＭＳ Ｐゴシック,太字"&amp;16ⅰ　歳入・歳出総額等
（令和元&amp;K000000年度）</oddHeader>
  </headerFooter>
  <rowBreaks count="1" manualBreakCount="1">
    <brk id="71" max="24" man="1"/>
  </rowBreaks>
  <colBreaks count="3" manualBreakCount="3">
    <brk id="6" min="2" max="70" man="1"/>
    <brk id="12" min="2" max="70" man="1"/>
    <brk id="19" min="2" max="7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5F5B0-47B3-4592-9989-E710D41DCFD5}">
  <dimension ref="A1:BE133"/>
  <sheetViews>
    <sheetView showGridLines="0" view="pageBreakPreview" zoomScale="60" zoomScaleNormal="70" workbookViewId="0">
      <pane xSplit="1" ySplit="6" topLeftCell="B7" activePane="bottomRight" state="frozen"/>
      <selection activeCell="E12" sqref="E12"/>
      <selection pane="topRight" activeCell="E12" sqref="E12"/>
      <selection pane="bottomLeft" activeCell="E12" sqref="E12"/>
      <selection pane="bottomRight" activeCell="Z1" sqref="Z1:AA1"/>
    </sheetView>
  </sheetViews>
  <sheetFormatPr defaultRowHeight="13.2" x14ac:dyDescent="0.2"/>
  <cols>
    <col min="1" max="1" width="12.44140625" customWidth="1"/>
    <col min="2" max="2" width="15" style="961" customWidth="1"/>
    <col min="3" max="3" width="6.44140625" style="331" customWidth="1"/>
    <col min="4" max="4" width="13.77734375" style="330" customWidth="1"/>
    <col min="5" max="5" width="6.44140625" style="867" customWidth="1"/>
    <col min="6" max="6" width="13.77734375" style="330" customWidth="1"/>
    <col min="7" max="7" width="6.44140625" customWidth="1"/>
    <col min="8" max="8" width="13.77734375" customWidth="1"/>
    <col min="9" max="9" width="6.44140625" customWidth="1"/>
    <col min="10" max="10" width="13.77734375" customWidth="1"/>
    <col min="11" max="11" width="6.21875" customWidth="1"/>
    <col min="12" max="12" width="15.21875" customWidth="1"/>
    <col min="13" max="13" width="6.44140625" customWidth="1"/>
    <col min="14" max="14" width="13.77734375" customWidth="1"/>
    <col min="15" max="15" width="6.44140625" style="867" customWidth="1"/>
    <col min="16" max="16" width="13.77734375" customWidth="1"/>
    <col min="17" max="17" width="6.44140625" customWidth="1"/>
    <col min="18" max="18" width="13.77734375" customWidth="1"/>
    <col min="19" max="19" width="6.44140625" customWidth="1"/>
    <col min="20" max="20" width="13.77734375" customWidth="1"/>
    <col min="21" max="21" width="6.44140625" customWidth="1"/>
    <col min="22" max="22" width="13.77734375" customWidth="1"/>
    <col min="23" max="23" width="6.44140625" customWidth="1"/>
    <col min="24" max="24" width="15.109375" style="330" customWidth="1"/>
    <col min="25" max="25" width="7.21875" customWidth="1"/>
    <col min="26" max="26" width="14.5546875" customWidth="1"/>
    <col min="27" max="27" width="13.44140625" customWidth="1"/>
    <col min="28" max="28" width="13.77734375" style="330" customWidth="1"/>
    <col min="29" max="29" width="13.77734375" customWidth="1"/>
    <col min="30" max="30" width="6.21875" customWidth="1"/>
    <col min="31" max="31" width="13.77734375" customWidth="1"/>
    <col min="32" max="32" width="6.21875" style="38" customWidth="1"/>
    <col min="33" max="33" width="16" style="330" customWidth="1"/>
    <col min="34" max="34" width="8.77734375" style="867" customWidth="1"/>
    <col min="35" max="35" width="16.88671875" customWidth="1"/>
    <col min="36" max="36" width="8.77734375" style="867" customWidth="1"/>
    <col min="37" max="37" width="16.88671875" customWidth="1"/>
    <col min="38" max="38" width="8.77734375" style="867" customWidth="1"/>
    <col min="39" max="39" width="16" customWidth="1"/>
    <col min="40" max="40" width="8.88671875" style="867" customWidth="1"/>
    <col min="41" max="41" width="16.6640625" customWidth="1"/>
    <col min="42" max="42" width="9.33203125" style="867" customWidth="1"/>
    <col min="43" max="43" width="16.6640625" customWidth="1"/>
    <col min="44" max="44" width="9.33203125" style="867" customWidth="1"/>
    <col min="45" max="45" width="16.6640625" customWidth="1"/>
    <col min="46" max="46" width="9.33203125" style="867" customWidth="1"/>
    <col min="47" max="47" width="16.6640625" customWidth="1"/>
    <col min="48" max="48" width="9.33203125" style="867" customWidth="1"/>
    <col min="49" max="49" width="16.44140625" customWidth="1"/>
    <col min="50" max="50" width="9.33203125" style="867" customWidth="1"/>
    <col min="51" max="51" width="16.44140625" customWidth="1"/>
    <col min="52" max="52" width="9.33203125" style="867" customWidth="1"/>
    <col min="53" max="53" width="16.44140625" customWidth="1"/>
    <col min="54" max="54" width="9.33203125" style="867" customWidth="1"/>
    <col min="55" max="55" width="16.44140625" customWidth="1"/>
    <col min="56" max="56" width="9.33203125" style="867" customWidth="1"/>
    <col min="57" max="57" width="11.33203125" customWidth="1"/>
    <col min="58" max="58" width="11.33203125" bestFit="1" customWidth="1"/>
  </cols>
  <sheetData>
    <row r="1" spans="1:57" ht="18.75" customHeight="1" x14ac:dyDescent="0.2">
      <c r="A1" s="865" t="s">
        <v>654</v>
      </c>
      <c r="B1" s="865"/>
      <c r="E1" s="866"/>
    </row>
    <row r="2" spans="1:57" ht="18.75" customHeight="1" x14ac:dyDescent="0.2">
      <c r="A2" s="868" t="s">
        <v>655</v>
      </c>
      <c r="B2" s="868"/>
    </row>
    <row r="3" spans="1:57" ht="17.25" customHeight="1" x14ac:dyDescent="0.2">
      <c r="A3" s="61" t="s">
        <v>390</v>
      </c>
      <c r="B3" s="1751" t="s">
        <v>656</v>
      </c>
      <c r="C3" s="1752"/>
      <c r="D3" s="1752" t="s">
        <v>657</v>
      </c>
      <c r="E3" s="1752"/>
      <c r="F3" s="1752" t="s">
        <v>658</v>
      </c>
      <c r="G3" s="1752"/>
      <c r="H3" s="1633" t="s">
        <v>659</v>
      </c>
      <c r="I3" s="1633"/>
      <c r="J3" s="1755" t="s">
        <v>660</v>
      </c>
      <c r="K3" s="1756"/>
      <c r="L3" s="1638" t="s">
        <v>661</v>
      </c>
      <c r="M3" s="1633"/>
      <c r="N3" s="1755" t="s">
        <v>662</v>
      </c>
      <c r="O3" s="1633"/>
      <c r="P3" s="1759" t="s">
        <v>663</v>
      </c>
      <c r="Q3" s="1760"/>
      <c r="R3" s="1633" t="s">
        <v>664</v>
      </c>
      <c r="S3" s="1641"/>
      <c r="T3" s="1755" t="s">
        <v>665</v>
      </c>
      <c r="U3" s="1756"/>
      <c r="V3" s="1638" t="s">
        <v>666</v>
      </c>
      <c r="W3" s="1633"/>
      <c r="X3" s="1751" t="s">
        <v>667</v>
      </c>
      <c r="Y3" s="1752"/>
      <c r="Z3" s="1630" t="s">
        <v>668</v>
      </c>
      <c r="AA3" s="1630"/>
      <c r="AB3" s="1633"/>
      <c r="AC3" s="1633" t="s">
        <v>669</v>
      </c>
      <c r="AD3" s="1633"/>
      <c r="AE3" s="1633" t="s">
        <v>670</v>
      </c>
      <c r="AF3" s="1756"/>
      <c r="AG3" s="1773" t="s">
        <v>671</v>
      </c>
      <c r="AH3" s="1752"/>
      <c r="AI3" s="1633" t="s">
        <v>672</v>
      </c>
      <c r="AJ3" s="1633"/>
      <c r="AK3" s="1633" t="s">
        <v>673</v>
      </c>
      <c r="AL3" s="1641"/>
      <c r="AM3" s="1769" t="s">
        <v>674</v>
      </c>
      <c r="AN3" s="1770"/>
      <c r="AO3" s="1689" t="s">
        <v>675</v>
      </c>
      <c r="AP3" s="1738"/>
      <c r="AQ3" s="1689" t="s">
        <v>676</v>
      </c>
      <c r="AR3" s="1738"/>
      <c r="AS3" s="1738" t="s">
        <v>677</v>
      </c>
      <c r="AT3" s="1738"/>
      <c r="AU3" s="1738" t="s">
        <v>678</v>
      </c>
      <c r="AV3" s="1764"/>
      <c r="AW3" s="1771" t="s">
        <v>679</v>
      </c>
      <c r="AX3" s="1738"/>
      <c r="AY3" s="1738" t="s">
        <v>680</v>
      </c>
      <c r="AZ3" s="1738"/>
      <c r="BA3" s="1738" t="s">
        <v>681</v>
      </c>
      <c r="BB3" s="1762"/>
      <c r="BC3" s="1689" t="s">
        <v>682</v>
      </c>
      <c r="BD3" s="1764"/>
    </row>
    <row r="4" spans="1:57" ht="17.25" customHeight="1" x14ac:dyDescent="0.2">
      <c r="A4" s="69"/>
      <c r="B4" s="1753"/>
      <c r="C4" s="1754"/>
      <c r="D4" s="1754"/>
      <c r="E4" s="1754"/>
      <c r="F4" s="1754"/>
      <c r="G4" s="1754"/>
      <c r="H4" s="1634"/>
      <c r="I4" s="1634"/>
      <c r="J4" s="1634"/>
      <c r="K4" s="1757"/>
      <c r="L4" s="1639"/>
      <c r="M4" s="1634"/>
      <c r="N4" s="1634"/>
      <c r="O4" s="1634"/>
      <c r="P4" s="1765" t="s">
        <v>683</v>
      </c>
      <c r="Q4" s="1766"/>
      <c r="R4" s="1634"/>
      <c r="S4" s="1758"/>
      <c r="T4" s="1634"/>
      <c r="U4" s="1757"/>
      <c r="V4" s="1639"/>
      <c r="W4" s="1634"/>
      <c r="X4" s="1753"/>
      <c r="Y4" s="1754"/>
      <c r="Z4" s="1772"/>
      <c r="AA4" s="1772"/>
      <c r="AB4" s="1634"/>
      <c r="AC4" s="1634"/>
      <c r="AD4" s="1634"/>
      <c r="AE4" s="1634"/>
      <c r="AF4" s="1757"/>
      <c r="AG4" s="1774"/>
      <c r="AH4" s="1754"/>
      <c r="AI4" s="1634"/>
      <c r="AJ4" s="1634"/>
      <c r="AK4" s="1634"/>
      <c r="AL4" s="1758"/>
      <c r="AM4" s="1767" t="s">
        <v>684</v>
      </c>
      <c r="AN4" s="1768"/>
      <c r="AO4" s="1736"/>
      <c r="AP4" s="1711"/>
      <c r="AQ4" s="1736"/>
      <c r="AR4" s="1711"/>
      <c r="AS4" s="1711"/>
      <c r="AT4" s="1711"/>
      <c r="AU4" s="1711"/>
      <c r="AV4" s="1479"/>
      <c r="AW4" s="1451"/>
      <c r="AX4" s="1711"/>
      <c r="AY4" s="1711"/>
      <c r="AZ4" s="1711"/>
      <c r="BA4" s="1711"/>
      <c r="BB4" s="1763"/>
      <c r="BC4" s="1736"/>
      <c r="BD4" s="1479"/>
    </row>
    <row r="5" spans="1:57" ht="17.25" customHeight="1" x14ac:dyDescent="0.2">
      <c r="A5" s="576"/>
      <c r="B5" s="869"/>
      <c r="C5" s="870" t="s">
        <v>685</v>
      </c>
      <c r="D5" s="871"/>
      <c r="E5" s="872" t="s">
        <v>685</v>
      </c>
      <c r="F5" s="871"/>
      <c r="G5" s="780" t="s">
        <v>685</v>
      </c>
      <c r="H5" s="68"/>
      <c r="I5" s="780" t="s">
        <v>685</v>
      </c>
      <c r="J5" s="873"/>
      <c r="K5" s="798" t="s">
        <v>685</v>
      </c>
      <c r="L5" s="874"/>
      <c r="M5" s="780" t="s">
        <v>685</v>
      </c>
      <c r="N5" s="875"/>
      <c r="O5" s="872" t="s">
        <v>685</v>
      </c>
      <c r="P5" s="68"/>
      <c r="Q5" s="780" t="s">
        <v>685</v>
      </c>
      <c r="R5" s="875"/>
      <c r="S5" s="797" t="s">
        <v>685</v>
      </c>
      <c r="T5" s="873"/>
      <c r="U5" s="798" t="s">
        <v>685</v>
      </c>
      <c r="V5" s="295"/>
      <c r="W5" s="780" t="s">
        <v>685</v>
      </c>
      <c r="X5" s="871"/>
      <c r="Y5" s="780" t="s">
        <v>685</v>
      </c>
      <c r="Z5" s="779" t="s">
        <v>629</v>
      </c>
      <c r="AA5" s="876" t="s">
        <v>686</v>
      </c>
      <c r="AB5" s="877" t="s">
        <v>687</v>
      </c>
      <c r="AC5" s="68"/>
      <c r="AD5" s="780" t="s">
        <v>685</v>
      </c>
      <c r="AE5" s="873"/>
      <c r="AF5" s="798" t="s">
        <v>685</v>
      </c>
      <c r="AG5" s="878"/>
      <c r="AH5" s="872" t="s">
        <v>685</v>
      </c>
      <c r="AI5" s="875"/>
      <c r="AJ5" s="872" t="s">
        <v>685</v>
      </c>
      <c r="AK5" s="875"/>
      <c r="AL5" s="879" t="s">
        <v>685</v>
      </c>
      <c r="AM5" s="875"/>
      <c r="AN5" s="880" t="s">
        <v>685</v>
      </c>
      <c r="AO5" s="68"/>
      <c r="AP5" s="872" t="s">
        <v>685</v>
      </c>
      <c r="AQ5" s="68"/>
      <c r="AR5" s="872" t="s">
        <v>685</v>
      </c>
      <c r="AS5" s="68"/>
      <c r="AT5" s="872" t="s">
        <v>685</v>
      </c>
      <c r="AU5" s="875"/>
      <c r="AV5" s="880" t="s">
        <v>685</v>
      </c>
      <c r="AW5" s="295"/>
      <c r="AX5" s="872" t="s">
        <v>685</v>
      </c>
      <c r="AY5" s="875"/>
      <c r="AZ5" s="872" t="s">
        <v>685</v>
      </c>
      <c r="BA5" s="875"/>
      <c r="BB5" s="881" t="s">
        <v>685</v>
      </c>
      <c r="BC5" s="68"/>
      <c r="BD5" s="880" t="s">
        <v>685</v>
      </c>
    </row>
    <row r="6" spans="1:57" ht="17.25" customHeight="1" x14ac:dyDescent="0.2">
      <c r="A6" s="91" t="s">
        <v>414</v>
      </c>
      <c r="B6" s="882" t="s">
        <v>647</v>
      </c>
      <c r="C6" s="883" t="s">
        <v>131</v>
      </c>
      <c r="D6" s="884" t="s">
        <v>647</v>
      </c>
      <c r="E6" s="885" t="s">
        <v>131</v>
      </c>
      <c r="F6" s="884" t="s">
        <v>647</v>
      </c>
      <c r="G6" s="886" t="s">
        <v>131</v>
      </c>
      <c r="H6" s="886" t="s">
        <v>647</v>
      </c>
      <c r="I6" s="886" t="s">
        <v>131</v>
      </c>
      <c r="J6" s="886" t="s">
        <v>647</v>
      </c>
      <c r="K6" s="887" t="s">
        <v>131</v>
      </c>
      <c r="L6" s="888" t="s">
        <v>647</v>
      </c>
      <c r="M6" s="886" t="s">
        <v>131</v>
      </c>
      <c r="N6" s="886" t="s">
        <v>647</v>
      </c>
      <c r="O6" s="885" t="s">
        <v>131</v>
      </c>
      <c r="P6" s="886" t="s">
        <v>647</v>
      </c>
      <c r="Q6" s="886" t="s">
        <v>131</v>
      </c>
      <c r="R6" s="886" t="s">
        <v>647</v>
      </c>
      <c r="S6" s="889" t="s">
        <v>131</v>
      </c>
      <c r="T6" s="94" t="s">
        <v>647</v>
      </c>
      <c r="U6" s="95" t="s">
        <v>131</v>
      </c>
      <c r="V6" s="888" t="s">
        <v>647</v>
      </c>
      <c r="W6" s="886" t="s">
        <v>131</v>
      </c>
      <c r="X6" s="882" t="s">
        <v>647</v>
      </c>
      <c r="Y6" s="886" t="s">
        <v>131</v>
      </c>
      <c r="Z6" s="890" t="s">
        <v>647</v>
      </c>
      <c r="AA6" s="890" t="s">
        <v>647</v>
      </c>
      <c r="AB6" s="884" t="s">
        <v>647</v>
      </c>
      <c r="AC6" s="886" t="s">
        <v>647</v>
      </c>
      <c r="AD6" s="886" t="s">
        <v>131</v>
      </c>
      <c r="AE6" s="94" t="s">
        <v>647</v>
      </c>
      <c r="AF6" s="95" t="s">
        <v>131</v>
      </c>
      <c r="AG6" s="891" t="s">
        <v>647</v>
      </c>
      <c r="AH6" s="885" t="s">
        <v>131</v>
      </c>
      <c r="AI6" s="886" t="s">
        <v>647</v>
      </c>
      <c r="AJ6" s="885" t="s">
        <v>131</v>
      </c>
      <c r="AK6" s="886" t="s">
        <v>647</v>
      </c>
      <c r="AL6" s="892" t="s">
        <v>131</v>
      </c>
      <c r="AM6" s="94" t="s">
        <v>647</v>
      </c>
      <c r="AN6" s="893" t="s">
        <v>131</v>
      </c>
      <c r="AO6" s="890" t="s">
        <v>647</v>
      </c>
      <c r="AP6" s="885" t="s">
        <v>131</v>
      </c>
      <c r="AQ6" s="890" t="s">
        <v>647</v>
      </c>
      <c r="AR6" s="885" t="s">
        <v>131</v>
      </c>
      <c r="AS6" s="886" t="s">
        <v>647</v>
      </c>
      <c r="AT6" s="885" t="s">
        <v>131</v>
      </c>
      <c r="AU6" s="886" t="s">
        <v>647</v>
      </c>
      <c r="AV6" s="894" t="s">
        <v>131</v>
      </c>
      <c r="AW6" s="888" t="s">
        <v>647</v>
      </c>
      <c r="AX6" s="885" t="s">
        <v>131</v>
      </c>
      <c r="AY6" s="94" t="s">
        <v>647</v>
      </c>
      <c r="AZ6" s="895" t="s">
        <v>131</v>
      </c>
      <c r="BA6" s="94" t="s">
        <v>647</v>
      </c>
      <c r="BB6" s="896" t="s">
        <v>131</v>
      </c>
      <c r="BC6" s="93" t="s">
        <v>647</v>
      </c>
      <c r="BD6" s="893" t="s">
        <v>131</v>
      </c>
    </row>
    <row r="7" spans="1:57" s="38" customFormat="1" ht="15.75" customHeight="1" x14ac:dyDescent="0.2">
      <c r="A7" s="102" t="s">
        <v>142</v>
      </c>
      <c r="B7" s="118">
        <v>32404550</v>
      </c>
      <c r="C7" s="841">
        <v>23.5</v>
      </c>
      <c r="D7" s="398">
        <v>750604</v>
      </c>
      <c r="E7" s="841">
        <v>0.6</v>
      </c>
      <c r="F7" s="398">
        <v>21211</v>
      </c>
      <c r="G7" s="841">
        <v>0</v>
      </c>
      <c r="H7" s="398">
        <v>68823</v>
      </c>
      <c r="I7" s="841">
        <v>0.1</v>
      </c>
      <c r="J7" s="398">
        <v>44656</v>
      </c>
      <c r="K7" s="743">
        <v>0</v>
      </c>
      <c r="L7" s="118">
        <v>5103707</v>
      </c>
      <c r="M7" s="841">
        <v>3.7</v>
      </c>
      <c r="N7" s="398">
        <v>11124</v>
      </c>
      <c r="O7" s="841">
        <v>0</v>
      </c>
      <c r="P7" s="805">
        <v>0</v>
      </c>
      <c r="Q7" s="841">
        <v>0</v>
      </c>
      <c r="R7" s="805">
        <v>77662</v>
      </c>
      <c r="S7" s="841">
        <v>0.1</v>
      </c>
      <c r="T7" s="410">
        <v>22432</v>
      </c>
      <c r="U7" s="115">
        <v>0</v>
      </c>
      <c r="V7" s="108">
        <v>316140</v>
      </c>
      <c r="W7" s="113">
        <v>0.2</v>
      </c>
      <c r="X7" s="897">
        <v>32280936</v>
      </c>
      <c r="Y7" s="113">
        <v>23.4</v>
      </c>
      <c r="Z7" s="897">
        <v>30736785</v>
      </c>
      <c r="AA7" s="897">
        <v>1544034</v>
      </c>
      <c r="AB7" s="410">
        <v>117</v>
      </c>
      <c r="AC7" s="410">
        <v>40556</v>
      </c>
      <c r="AD7" s="113">
        <v>0</v>
      </c>
      <c r="AE7" s="410">
        <v>436066</v>
      </c>
      <c r="AF7" s="115">
        <v>0.3</v>
      </c>
      <c r="AG7" s="118">
        <v>2190591</v>
      </c>
      <c r="AH7" s="841">
        <v>1.6</v>
      </c>
      <c r="AI7" s="398">
        <v>1374943</v>
      </c>
      <c r="AJ7" s="841">
        <v>1</v>
      </c>
      <c r="AK7" s="398">
        <v>29356707</v>
      </c>
      <c r="AL7" s="898">
        <v>21.3</v>
      </c>
      <c r="AM7" s="899">
        <v>1939</v>
      </c>
      <c r="AN7" s="900">
        <v>0</v>
      </c>
      <c r="AO7" s="901">
        <v>7951328</v>
      </c>
      <c r="AP7" s="902">
        <v>5.8</v>
      </c>
      <c r="AQ7" s="903">
        <v>1380187</v>
      </c>
      <c r="AR7" s="902">
        <v>1</v>
      </c>
      <c r="AS7" s="899">
        <v>822492</v>
      </c>
      <c r="AT7" s="902">
        <v>0.6</v>
      </c>
      <c r="AU7" s="899">
        <v>764592</v>
      </c>
      <c r="AV7" s="900">
        <v>0.6</v>
      </c>
      <c r="AW7" s="118">
        <v>604301</v>
      </c>
      <c r="AX7" s="841">
        <v>0.4</v>
      </c>
      <c r="AY7" s="397">
        <v>8174973</v>
      </c>
      <c r="AZ7" s="403">
        <v>5.9</v>
      </c>
      <c r="BA7" s="397">
        <v>13582100</v>
      </c>
      <c r="BB7" s="904">
        <v>9.9</v>
      </c>
      <c r="BC7" s="740">
        <v>137782620</v>
      </c>
      <c r="BD7" s="741">
        <v>100</v>
      </c>
      <c r="BE7" s="659"/>
    </row>
    <row r="8" spans="1:57" s="38" customFormat="1" ht="15.75" customHeight="1" x14ac:dyDescent="0.2">
      <c r="A8" s="121" t="s">
        <v>144</v>
      </c>
      <c r="B8" s="135">
        <v>40283960</v>
      </c>
      <c r="C8" s="423">
        <v>25</v>
      </c>
      <c r="D8" s="420">
        <v>1417700</v>
      </c>
      <c r="E8" s="423">
        <v>0.9</v>
      </c>
      <c r="F8" s="420">
        <v>26933</v>
      </c>
      <c r="G8" s="423">
        <v>0</v>
      </c>
      <c r="H8" s="420">
        <v>87356</v>
      </c>
      <c r="I8" s="423">
        <v>0.1</v>
      </c>
      <c r="J8" s="420">
        <v>56666</v>
      </c>
      <c r="K8" s="745">
        <v>0</v>
      </c>
      <c r="L8" s="135">
        <v>6464254</v>
      </c>
      <c r="M8" s="423">
        <v>4</v>
      </c>
      <c r="N8" s="420">
        <v>14609</v>
      </c>
      <c r="O8" s="423">
        <v>0</v>
      </c>
      <c r="P8" s="421" t="s">
        <v>143</v>
      </c>
      <c r="Q8" s="423" t="s">
        <v>143</v>
      </c>
      <c r="R8" s="421">
        <v>124279</v>
      </c>
      <c r="S8" s="423">
        <v>0.1</v>
      </c>
      <c r="T8" s="125">
        <v>35897</v>
      </c>
      <c r="U8" s="132">
        <v>0</v>
      </c>
      <c r="V8" s="122">
        <v>459293</v>
      </c>
      <c r="W8" s="124">
        <v>0.3</v>
      </c>
      <c r="X8" s="123">
        <v>32691022</v>
      </c>
      <c r="Y8" s="124">
        <v>20.3</v>
      </c>
      <c r="Z8" s="123">
        <v>31815584</v>
      </c>
      <c r="AA8" s="123">
        <v>875406</v>
      </c>
      <c r="AB8" s="125">
        <v>32</v>
      </c>
      <c r="AC8" s="125">
        <v>50669</v>
      </c>
      <c r="AD8" s="124">
        <v>0</v>
      </c>
      <c r="AE8" s="125">
        <v>1201445</v>
      </c>
      <c r="AF8" s="132">
        <v>0.7</v>
      </c>
      <c r="AG8" s="135">
        <v>2711569</v>
      </c>
      <c r="AH8" s="423">
        <v>1.7</v>
      </c>
      <c r="AI8" s="420">
        <v>1210568</v>
      </c>
      <c r="AJ8" s="423">
        <v>0.8</v>
      </c>
      <c r="AK8" s="420">
        <v>34706382</v>
      </c>
      <c r="AL8" s="746">
        <v>21.6</v>
      </c>
      <c r="AM8" s="905">
        <v>278508</v>
      </c>
      <c r="AN8" s="753">
        <v>0.2</v>
      </c>
      <c r="AO8" s="752">
        <v>12185675</v>
      </c>
      <c r="AP8" s="756">
        <v>7.6</v>
      </c>
      <c r="AQ8" s="905">
        <v>372361</v>
      </c>
      <c r="AR8" s="756">
        <v>0.2</v>
      </c>
      <c r="AS8" s="905">
        <v>1396421</v>
      </c>
      <c r="AT8" s="756">
        <v>0.9</v>
      </c>
      <c r="AU8" s="905">
        <v>1438859</v>
      </c>
      <c r="AV8" s="753">
        <v>0.9</v>
      </c>
      <c r="AW8" s="135">
        <v>691969</v>
      </c>
      <c r="AX8" s="423">
        <v>0.4</v>
      </c>
      <c r="AY8" s="420">
        <v>8585264</v>
      </c>
      <c r="AZ8" s="423">
        <v>5.3</v>
      </c>
      <c r="BA8" s="420">
        <v>14466094</v>
      </c>
      <c r="BB8" s="906">
        <v>9</v>
      </c>
      <c r="BC8" s="744">
        <v>160957753</v>
      </c>
      <c r="BD8" s="745">
        <v>100</v>
      </c>
      <c r="BE8" s="659"/>
    </row>
    <row r="9" spans="1:57" s="38" customFormat="1" ht="15.75" customHeight="1" x14ac:dyDescent="0.2">
      <c r="A9" s="102" t="s">
        <v>145</v>
      </c>
      <c r="B9" s="145">
        <v>34364273</v>
      </c>
      <c r="C9" s="403">
        <v>26.7</v>
      </c>
      <c r="D9" s="397">
        <v>887390</v>
      </c>
      <c r="E9" s="403">
        <v>0.7</v>
      </c>
      <c r="F9" s="397">
        <v>26621</v>
      </c>
      <c r="G9" s="403">
        <v>0</v>
      </c>
      <c r="H9" s="397">
        <v>62462</v>
      </c>
      <c r="I9" s="403">
        <v>0.1</v>
      </c>
      <c r="J9" s="397">
        <v>34508</v>
      </c>
      <c r="K9" s="741">
        <v>0</v>
      </c>
      <c r="L9" s="145">
        <v>5217939</v>
      </c>
      <c r="M9" s="403">
        <v>4.0999999999999996</v>
      </c>
      <c r="N9" s="397">
        <v>21727</v>
      </c>
      <c r="O9" s="403">
        <v>0</v>
      </c>
      <c r="P9" s="401" t="s">
        <v>143</v>
      </c>
      <c r="Q9" s="403" t="s">
        <v>143</v>
      </c>
      <c r="R9" s="401">
        <v>122816</v>
      </c>
      <c r="S9" s="403">
        <v>0.1</v>
      </c>
      <c r="T9" s="106">
        <v>25917</v>
      </c>
      <c r="U9" s="142">
        <v>0</v>
      </c>
      <c r="V9" s="103">
        <v>387796</v>
      </c>
      <c r="W9" s="105">
        <v>0.3</v>
      </c>
      <c r="X9" s="104">
        <v>26538811</v>
      </c>
      <c r="Y9" s="105">
        <v>20.7</v>
      </c>
      <c r="Z9" s="104">
        <v>24381738</v>
      </c>
      <c r="AA9" s="104">
        <v>2151080</v>
      </c>
      <c r="AB9" s="106">
        <v>5993</v>
      </c>
      <c r="AC9" s="106">
        <v>35944</v>
      </c>
      <c r="AD9" s="105">
        <v>0</v>
      </c>
      <c r="AE9" s="106">
        <v>724205</v>
      </c>
      <c r="AF9" s="142">
        <v>0.6</v>
      </c>
      <c r="AG9" s="145">
        <v>1132078</v>
      </c>
      <c r="AH9" s="403">
        <v>0.9</v>
      </c>
      <c r="AI9" s="397">
        <v>630397</v>
      </c>
      <c r="AJ9" s="403">
        <v>0.5</v>
      </c>
      <c r="AK9" s="397">
        <v>27833176</v>
      </c>
      <c r="AL9" s="742">
        <v>21.7</v>
      </c>
      <c r="AM9" s="907">
        <v>3566</v>
      </c>
      <c r="AN9" s="758">
        <v>0</v>
      </c>
      <c r="AO9" s="908">
        <v>8409482</v>
      </c>
      <c r="AP9" s="760">
        <v>6.5</v>
      </c>
      <c r="AQ9" s="907">
        <v>370011</v>
      </c>
      <c r="AR9" s="760">
        <v>0.3</v>
      </c>
      <c r="AS9" s="907">
        <v>349576</v>
      </c>
      <c r="AT9" s="760">
        <v>0.3</v>
      </c>
      <c r="AU9" s="907">
        <v>4539450</v>
      </c>
      <c r="AV9" s="758">
        <v>3.5</v>
      </c>
      <c r="AW9" s="145">
        <v>824092</v>
      </c>
      <c r="AX9" s="403">
        <v>0.6</v>
      </c>
      <c r="AY9" s="397">
        <v>4295577</v>
      </c>
      <c r="AZ9" s="403">
        <v>3.3</v>
      </c>
      <c r="BA9" s="397">
        <v>11654117</v>
      </c>
      <c r="BB9" s="904">
        <v>9.1</v>
      </c>
      <c r="BC9" s="740">
        <v>128491931</v>
      </c>
      <c r="BD9" s="741">
        <v>100</v>
      </c>
      <c r="BE9" s="659"/>
    </row>
    <row r="10" spans="1:57" s="38" customFormat="1" ht="15.75" customHeight="1" x14ac:dyDescent="0.2">
      <c r="A10" s="121" t="s">
        <v>147</v>
      </c>
      <c r="B10" s="135">
        <v>30412938</v>
      </c>
      <c r="C10" s="423">
        <v>27.4</v>
      </c>
      <c r="D10" s="420">
        <v>748188</v>
      </c>
      <c r="E10" s="423">
        <v>0.7</v>
      </c>
      <c r="F10" s="420">
        <v>22442</v>
      </c>
      <c r="G10" s="423">
        <v>0</v>
      </c>
      <c r="H10" s="420">
        <v>52729</v>
      </c>
      <c r="I10" s="423">
        <v>0</v>
      </c>
      <c r="J10" s="420">
        <v>29157</v>
      </c>
      <c r="K10" s="745">
        <v>0</v>
      </c>
      <c r="L10" s="135">
        <v>4287432</v>
      </c>
      <c r="M10" s="423">
        <v>3.9</v>
      </c>
      <c r="N10" s="420">
        <v>2318</v>
      </c>
      <c r="O10" s="423">
        <v>0</v>
      </c>
      <c r="P10" s="421" t="s">
        <v>143</v>
      </c>
      <c r="Q10" s="423" t="s">
        <v>143</v>
      </c>
      <c r="R10" s="421">
        <v>101762</v>
      </c>
      <c r="S10" s="423">
        <v>0.1</v>
      </c>
      <c r="T10" s="125">
        <v>21474</v>
      </c>
      <c r="U10" s="132">
        <v>0</v>
      </c>
      <c r="V10" s="122">
        <v>371996</v>
      </c>
      <c r="W10" s="124">
        <v>0.3</v>
      </c>
      <c r="X10" s="123">
        <v>19043518</v>
      </c>
      <c r="Y10" s="124">
        <v>17.2</v>
      </c>
      <c r="Z10" s="123">
        <v>13809255</v>
      </c>
      <c r="AA10" s="123">
        <v>1917768</v>
      </c>
      <c r="AB10" s="125">
        <v>3316495</v>
      </c>
      <c r="AC10" s="125">
        <v>31291</v>
      </c>
      <c r="AD10" s="124">
        <v>0</v>
      </c>
      <c r="AE10" s="125">
        <v>206150</v>
      </c>
      <c r="AF10" s="132">
        <v>0.2</v>
      </c>
      <c r="AG10" s="193">
        <v>865810</v>
      </c>
      <c r="AH10" s="161">
        <v>0.8</v>
      </c>
      <c r="AI10" s="438">
        <v>551786</v>
      </c>
      <c r="AJ10" s="221">
        <v>0.5</v>
      </c>
      <c r="AK10" s="909">
        <v>20933699</v>
      </c>
      <c r="AL10" s="910">
        <v>18.899999999999999</v>
      </c>
      <c r="AM10" s="911">
        <v>489510</v>
      </c>
      <c r="AN10" s="753">
        <v>0.4</v>
      </c>
      <c r="AO10" s="912">
        <v>9509411</v>
      </c>
      <c r="AP10" s="913">
        <v>8.6</v>
      </c>
      <c r="AQ10" s="909">
        <v>333112</v>
      </c>
      <c r="AR10" s="913">
        <v>0.3</v>
      </c>
      <c r="AS10" s="909">
        <v>61216</v>
      </c>
      <c r="AT10" s="913">
        <v>0.1</v>
      </c>
      <c r="AU10" s="438">
        <v>3172312</v>
      </c>
      <c r="AV10" s="747">
        <v>2.9</v>
      </c>
      <c r="AW10" s="193">
        <v>3775829</v>
      </c>
      <c r="AX10" s="161">
        <v>3.4</v>
      </c>
      <c r="AY10" s="438">
        <v>3307507</v>
      </c>
      <c r="AZ10" s="221">
        <v>3</v>
      </c>
      <c r="BA10" s="438">
        <v>12494600</v>
      </c>
      <c r="BB10" s="221">
        <v>11.3</v>
      </c>
      <c r="BC10" s="914">
        <v>110826187</v>
      </c>
      <c r="BD10" s="745">
        <v>100</v>
      </c>
      <c r="BE10" s="659"/>
    </row>
    <row r="11" spans="1:57" s="38" customFormat="1" ht="15.75" customHeight="1" x14ac:dyDescent="0.2">
      <c r="A11" s="102" t="s">
        <v>148</v>
      </c>
      <c r="B11" s="183">
        <v>43149758</v>
      </c>
      <c r="C11" s="915">
        <v>36.9</v>
      </c>
      <c r="D11" s="748">
        <v>916835</v>
      </c>
      <c r="E11" s="178">
        <v>0.8</v>
      </c>
      <c r="F11" s="456">
        <v>26649</v>
      </c>
      <c r="G11" s="178">
        <v>0</v>
      </c>
      <c r="H11" s="456">
        <v>88961</v>
      </c>
      <c r="I11" s="178">
        <v>0.1</v>
      </c>
      <c r="J11" s="456">
        <v>38944</v>
      </c>
      <c r="K11" s="749">
        <v>0</v>
      </c>
      <c r="L11" s="183">
        <v>5331948</v>
      </c>
      <c r="M11" s="178">
        <v>4.5999999999999996</v>
      </c>
      <c r="N11" s="456">
        <v>23508</v>
      </c>
      <c r="O11" s="178">
        <v>0</v>
      </c>
      <c r="P11" s="457">
        <v>0</v>
      </c>
      <c r="Q11" s="178">
        <v>0</v>
      </c>
      <c r="R11" s="457">
        <v>80548</v>
      </c>
      <c r="S11" s="178">
        <v>0.1</v>
      </c>
      <c r="T11" s="138">
        <v>19224</v>
      </c>
      <c r="U11" s="180">
        <v>0</v>
      </c>
      <c r="V11" s="139">
        <v>514364</v>
      </c>
      <c r="W11" s="171">
        <v>0.4</v>
      </c>
      <c r="X11" s="170">
        <v>13948042</v>
      </c>
      <c r="Y11" s="171">
        <v>11.9</v>
      </c>
      <c r="Z11" s="170">
        <v>12557520</v>
      </c>
      <c r="AA11" s="462">
        <v>1296771</v>
      </c>
      <c r="AB11" s="138">
        <v>93751</v>
      </c>
      <c r="AC11" s="170">
        <v>52426</v>
      </c>
      <c r="AD11" s="171">
        <v>0</v>
      </c>
      <c r="AE11" s="138">
        <v>1156666</v>
      </c>
      <c r="AF11" s="180">
        <v>1</v>
      </c>
      <c r="AG11" s="183">
        <v>1223120</v>
      </c>
      <c r="AH11" s="178">
        <v>1.1000000000000001</v>
      </c>
      <c r="AI11" s="457">
        <v>494011</v>
      </c>
      <c r="AJ11" s="220">
        <v>0.4</v>
      </c>
      <c r="AK11" s="916">
        <v>21760641</v>
      </c>
      <c r="AL11" s="917">
        <v>18.600000000000001</v>
      </c>
      <c r="AM11" s="918">
        <v>0</v>
      </c>
      <c r="AN11" s="919">
        <v>0</v>
      </c>
      <c r="AO11" s="920">
        <v>7887911</v>
      </c>
      <c r="AP11" s="921">
        <v>6.7</v>
      </c>
      <c r="AQ11" s="922">
        <v>988567</v>
      </c>
      <c r="AR11" s="921">
        <v>0.9</v>
      </c>
      <c r="AS11" s="916">
        <v>244296</v>
      </c>
      <c r="AT11" s="921">
        <v>0.2</v>
      </c>
      <c r="AU11" s="456">
        <v>1866754</v>
      </c>
      <c r="AV11" s="749">
        <v>1.6</v>
      </c>
      <c r="AW11" s="183">
        <v>1742682</v>
      </c>
      <c r="AX11" s="178">
        <v>1.5</v>
      </c>
      <c r="AY11" s="456">
        <v>1524163</v>
      </c>
      <c r="AZ11" s="220">
        <v>1.3</v>
      </c>
      <c r="BA11" s="456">
        <v>13875650</v>
      </c>
      <c r="BB11" s="220">
        <v>11.9</v>
      </c>
      <c r="BC11" s="923">
        <v>116955668</v>
      </c>
      <c r="BD11" s="741">
        <v>100</v>
      </c>
      <c r="BE11" s="659"/>
    </row>
    <row r="12" spans="1:57" s="38" customFormat="1" ht="15.75" customHeight="1" x14ac:dyDescent="0.2">
      <c r="A12" s="121" t="s">
        <v>149</v>
      </c>
      <c r="B12" s="135">
        <v>43705007</v>
      </c>
      <c r="C12" s="924">
        <v>31.8</v>
      </c>
      <c r="D12" s="744">
        <v>1010122</v>
      </c>
      <c r="E12" s="423">
        <v>0.7</v>
      </c>
      <c r="F12" s="420">
        <v>33368</v>
      </c>
      <c r="G12" s="423">
        <v>0</v>
      </c>
      <c r="H12" s="420">
        <v>87100</v>
      </c>
      <c r="I12" s="423">
        <v>0.1</v>
      </c>
      <c r="J12" s="420">
        <v>52684</v>
      </c>
      <c r="K12" s="745">
        <v>0</v>
      </c>
      <c r="L12" s="135">
        <v>5987168</v>
      </c>
      <c r="M12" s="423">
        <v>4.4000000000000004</v>
      </c>
      <c r="N12" s="420">
        <v>57172</v>
      </c>
      <c r="O12" s="423">
        <v>0</v>
      </c>
      <c r="P12" s="421" t="s">
        <v>143</v>
      </c>
      <c r="Q12" s="423" t="s">
        <v>143</v>
      </c>
      <c r="R12" s="421">
        <v>120190</v>
      </c>
      <c r="S12" s="423">
        <v>0.1</v>
      </c>
      <c r="T12" s="125">
        <v>16326</v>
      </c>
      <c r="U12" s="132">
        <v>0</v>
      </c>
      <c r="V12" s="122">
        <v>568926</v>
      </c>
      <c r="W12" s="124">
        <v>0.4</v>
      </c>
      <c r="X12" s="123">
        <v>20581659</v>
      </c>
      <c r="Y12" s="124">
        <v>15</v>
      </c>
      <c r="Z12" s="123">
        <v>19200952</v>
      </c>
      <c r="AA12" s="430">
        <v>1380545</v>
      </c>
      <c r="AB12" s="125">
        <v>162</v>
      </c>
      <c r="AC12" s="123">
        <v>59158</v>
      </c>
      <c r="AD12" s="124">
        <v>0</v>
      </c>
      <c r="AE12" s="125">
        <v>886336</v>
      </c>
      <c r="AF12" s="132">
        <v>0.6</v>
      </c>
      <c r="AG12" s="193">
        <v>1218592</v>
      </c>
      <c r="AH12" s="161">
        <v>0.9</v>
      </c>
      <c r="AI12" s="467">
        <v>1231221</v>
      </c>
      <c r="AJ12" s="221">
        <v>0.9</v>
      </c>
      <c r="AK12" s="909">
        <v>23262451</v>
      </c>
      <c r="AL12" s="910">
        <v>16.899999999999999</v>
      </c>
      <c r="AM12" s="911">
        <v>3739</v>
      </c>
      <c r="AN12" s="753">
        <v>0</v>
      </c>
      <c r="AO12" s="912">
        <v>9661518</v>
      </c>
      <c r="AP12" s="913">
        <v>7</v>
      </c>
      <c r="AQ12" s="925">
        <v>581719</v>
      </c>
      <c r="AR12" s="913">
        <v>0.4</v>
      </c>
      <c r="AS12" s="909">
        <v>222184</v>
      </c>
      <c r="AT12" s="913">
        <v>0.2</v>
      </c>
      <c r="AU12" s="438">
        <v>5018033</v>
      </c>
      <c r="AV12" s="747">
        <v>3.7</v>
      </c>
      <c r="AW12" s="193">
        <v>2530570</v>
      </c>
      <c r="AX12" s="161">
        <v>1.8</v>
      </c>
      <c r="AY12" s="438">
        <v>9291058</v>
      </c>
      <c r="AZ12" s="221">
        <v>6.8</v>
      </c>
      <c r="BA12" s="438">
        <v>11387600</v>
      </c>
      <c r="BB12" s="221">
        <v>8.3000000000000007</v>
      </c>
      <c r="BC12" s="914">
        <v>137573901</v>
      </c>
      <c r="BD12" s="745">
        <v>100</v>
      </c>
      <c r="BE12" s="659"/>
    </row>
    <row r="13" spans="1:57" s="38" customFormat="1" ht="15.75" customHeight="1" x14ac:dyDescent="0.2">
      <c r="A13" s="169" t="s">
        <v>150</v>
      </c>
      <c r="B13" s="183">
        <v>36414112</v>
      </c>
      <c r="C13" s="915">
        <v>36</v>
      </c>
      <c r="D13" s="748">
        <v>632781</v>
      </c>
      <c r="E13" s="178">
        <v>0.6</v>
      </c>
      <c r="F13" s="456">
        <v>32682</v>
      </c>
      <c r="G13" s="178">
        <v>0</v>
      </c>
      <c r="H13" s="456">
        <v>91976</v>
      </c>
      <c r="I13" s="178">
        <v>0.1</v>
      </c>
      <c r="J13" s="456">
        <v>51089</v>
      </c>
      <c r="K13" s="749">
        <v>0.1</v>
      </c>
      <c r="L13" s="183">
        <v>4795062</v>
      </c>
      <c r="M13" s="178">
        <v>4.7</v>
      </c>
      <c r="N13" s="456">
        <v>2626</v>
      </c>
      <c r="O13" s="178">
        <v>0</v>
      </c>
      <c r="P13" s="457" t="s">
        <v>143</v>
      </c>
      <c r="Q13" s="178" t="s">
        <v>143</v>
      </c>
      <c r="R13" s="457">
        <v>87643</v>
      </c>
      <c r="S13" s="178">
        <v>0.1</v>
      </c>
      <c r="T13" s="138">
        <v>22042</v>
      </c>
      <c r="U13" s="180">
        <v>0</v>
      </c>
      <c r="V13" s="139">
        <v>519204</v>
      </c>
      <c r="W13" s="171">
        <v>0.5</v>
      </c>
      <c r="X13" s="170">
        <v>9998056</v>
      </c>
      <c r="Y13" s="171">
        <v>9.9</v>
      </c>
      <c r="Z13" s="170">
        <v>9246756</v>
      </c>
      <c r="AA13" s="462">
        <v>743573</v>
      </c>
      <c r="AB13" s="138">
        <v>7727</v>
      </c>
      <c r="AC13" s="170">
        <v>50155</v>
      </c>
      <c r="AD13" s="171">
        <v>0.1</v>
      </c>
      <c r="AE13" s="138">
        <v>1065367</v>
      </c>
      <c r="AF13" s="180">
        <v>1.1000000000000001</v>
      </c>
      <c r="AG13" s="183">
        <v>884008</v>
      </c>
      <c r="AH13" s="178">
        <v>0.9</v>
      </c>
      <c r="AI13" s="457">
        <v>690729</v>
      </c>
      <c r="AJ13" s="220">
        <v>0.7</v>
      </c>
      <c r="AK13" s="916">
        <v>14324980</v>
      </c>
      <c r="AL13" s="917">
        <v>14.2</v>
      </c>
      <c r="AM13" s="918" t="s">
        <v>143</v>
      </c>
      <c r="AN13" s="919" t="s">
        <v>143</v>
      </c>
      <c r="AO13" s="920">
        <v>6758792</v>
      </c>
      <c r="AP13" s="921">
        <v>6.7</v>
      </c>
      <c r="AQ13" s="922">
        <v>379957</v>
      </c>
      <c r="AR13" s="921">
        <v>0.4</v>
      </c>
      <c r="AS13" s="916">
        <v>3281786</v>
      </c>
      <c r="AT13" s="921">
        <v>3.2</v>
      </c>
      <c r="AU13" s="456">
        <v>2443528</v>
      </c>
      <c r="AV13" s="749">
        <v>2.4</v>
      </c>
      <c r="AW13" s="183">
        <v>2117231</v>
      </c>
      <c r="AX13" s="178">
        <v>2.1</v>
      </c>
      <c r="AY13" s="456">
        <v>7281871</v>
      </c>
      <c r="AZ13" s="220">
        <v>7.2</v>
      </c>
      <c r="BA13" s="456">
        <v>9105800</v>
      </c>
      <c r="BB13" s="220">
        <v>9</v>
      </c>
      <c r="BC13" s="923">
        <v>101031577</v>
      </c>
      <c r="BD13" s="741">
        <v>100</v>
      </c>
      <c r="BE13" s="659"/>
    </row>
    <row r="14" spans="1:57" s="38" customFormat="1" ht="15.75" customHeight="1" x14ac:dyDescent="0.2">
      <c r="A14" s="121" t="s">
        <v>151</v>
      </c>
      <c r="B14" s="135">
        <v>40855149</v>
      </c>
      <c r="C14" s="924">
        <v>32.4</v>
      </c>
      <c r="D14" s="744">
        <v>1030008</v>
      </c>
      <c r="E14" s="423">
        <v>0.8</v>
      </c>
      <c r="F14" s="420">
        <v>27262</v>
      </c>
      <c r="G14" s="423">
        <v>0</v>
      </c>
      <c r="H14" s="420">
        <v>133666</v>
      </c>
      <c r="I14" s="423">
        <v>0.1</v>
      </c>
      <c r="J14" s="420">
        <v>65283</v>
      </c>
      <c r="K14" s="745">
        <v>0.1</v>
      </c>
      <c r="L14" s="135">
        <v>5572783</v>
      </c>
      <c r="M14" s="423">
        <v>4.4000000000000004</v>
      </c>
      <c r="N14" s="420">
        <v>11137</v>
      </c>
      <c r="O14" s="423">
        <v>0</v>
      </c>
      <c r="P14" s="421" t="s">
        <v>143</v>
      </c>
      <c r="Q14" s="423" t="s">
        <v>143</v>
      </c>
      <c r="R14" s="421">
        <v>112703</v>
      </c>
      <c r="S14" s="423">
        <v>0.1</v>
      </c>
      <c r="T14" s="125">
        <v>35397</v>
      </c>
      <c r="U14" s="132">
        <v>0</v>
      </c>
      <c r="V14" s="122">
        <v>541682</v>
      </c>
      <c r="W14" s="124">
        <v>0.4</v>
      </c>
      <c r="X14" s="123">
        <v>12957770</v>
      </c>
      <c r="Y14" s="124">
        <v>10.3</v>
      </c>
      <c r="Z14" s="123">
        <v>9847130</v>
      </c>
      <c r="AA14" s="430">
        <v>1678769</v>
      </c>
      <c r="AB14" s="125">
        <v>1431871</v>
      </c>
      <c r="AC14" s="123">
        <v>40168</v>
      </c>
      <c r="AD14" s="124">
        <v>0</v>
      </c>
      <c r="AE14" s="125">
        <v>770574</v>
      </c>
      <c r="AF14" s="132">
        <v>0.6</v>
      </c>
      <c r="AG14" s="193">
        <v>1323659</v>
      </c>
      <c r="AH14" s="161">
        <v>1.1000000000000001</v>
      </c>
      <c r="AI14" s="467">
        <v>514295</v>
      </c>
      <c r="AJ14" s="221">
        <v>0.4</v>
      </c>
      <c r="AK14" s="909">
        <v>16726683</v>
      </c>
      <c r="AL14" s="910">
        <v>13.3</v>
      </c>
      <c r="AM14" s="911">
        <v>1967</v>
      </c>
      <c r="AN14" s="753">
        <v>0</v>
      </c>
      <c r="AO14" s="912">
        <v>20189430</v>
      </c>
      <c r="AP14" s="913">
        <v>16</v>
      </c>
      <c r="AQ14" s="925">
        <v>562680</v>
      </c>
      <c r="AR14" s="913">
        <v>0.5</v>
      </c>
      <c r="AS14" s="909">
        <v>451431</v>
      </c>
      <c r="AT14" s="913">
        <v>0.4</v>
      </c>
      <c r="AU14" s="438">
        <v>4208590</v>
      </c>
      <c r="AV14" s="747">
        <v>3.3</v>
      </c>
      <c r="AW14" s="193">
        <v>5925941</v>
      </c>
      <c r="AX14" s="161">
        <v>4.7</v>
      </c>
      <c r="AY14" s="438">
        <v>3170936</v>
      </c>
      <c r="AZ14" s="221">
        <v>2.5</v>
      </c>
      <c r="BA14" s="438">
        <v>10897300</v>
      </c>
      <c r="BB14" s="221">
        <v>8.6</v>
      </c>
      <c r="BC14" s="914">
        <v>126126494</v>
      </c>
      <c r="BD14" s="745">
        <v>100</v>
      </c>
      <c r="BE14" s="659"/>
    </row>
    <row r="15" spans="1:57" s="38" customFormat="1" ht="15.75" customHeight="1" x14ac:dyDescent="0.2">
      <c r="A15" s="169" t="s">
        <v>153</v>
      </c>
      <c r="B15" s="183">
        <v>51463434</v>
      </c>
      <c r="C15" s="915">
        <v>36.1</v>
      </c>
      <c r="D15" s="748">
        <v>1154010</v>
      </c>
      <c r="E15" s="178">
        <v>0.8</v>
      </c>
      <c r="F15" s="456">
        <v>30633</v>
      </c>
      <c r="G15" s="178">
        <v>0</v>
      </c>
      <c r="H15" s="456">
        <v>150466</v>
      </c>
      <c r="I15" s="178">
        <v>0.1</v>
      </c>
      <c r="J15" s="456">
        <v>73585</v>
      </c>
      <c r="K15" s="749">
        <v>0.1</v>
      </c>
      <c r="L15" s="183">
        <v>6388775</v>
      </c>
      <c r="M15" s="178">
        <v>4.5</v>
      </c>
      <c r="N15" s="456">
        <v>19374</v>
      </c>
      <c r="O15" s="178">
        <v>0</v>
      </c>
      <c r="P15" s="457">
        <v>0</v>
      </c>
      <c r="Q15" s="178">
        <v>0</v>
      </c>
      <c r="R15" s="457">
        <v>126302</v>
      </c>
      <c r="S15" s="178">
        <v>0.1</v>
      </c>
      <c r="T15" s="138">
        <v>39669</v>
      </c>
      <c r="U15" s="180">
        <v>0</v>
      </c>
      <c r="V15" s="139">
        <v>729991</v>
      </c>
      <c r="W15" s="171">
        <v>0.5</v>
      </c>
      <c r="X15" s="170">
        <v>11304326</v>
      </c>
      <c r="Y15" s="171">
        <v>7.9</v>
      </c>
      <c r="Z15" s="170">
        <v>7646098</v>
      </c>
      <c r="AA15" s="462">
        <v>2727193</v>
      </c>
      <c r="AB15" s="138">
        <v>1113035</v>
      </c>
      <c r="AC15" s="170">
        <v>54314</v>
      </c>
      <c r="AD15" s="171">
        <v>0</v>
      </c>
      <c r="AE15" s="138">
        <v>520028</v>
      </c>
      <c r="AF15" s="180">
        <v>0.4</v>
      </c>
      <c r="AG15" s="183">
        <v>1638337</v>
      </c>
      <c r="AH15" s="178">
        <v>1.2</v>
      </c>
      <c r="AI15" s="457">
        <v>934791</v>
      </c>
      <c r="AJ15" s="220">
        <v>0.7</v>
      </c>
      <c r="AK15" s="916">
        <v>18444621</v>
      </c>
      <c r="AL15" s="917">
        <v>12.9</v>
      </c>
      <c r="AM15" s="918">
        <v>2760</v>
      </c>
      <c r="AN15" s="919">
        <v>0</v>
      </c>
      <c r="AO15" s="920">
        <v>21421270</v>
      </c>
      <c r="AP15" s="921">
        <v>15</v>
      </c>
      <c r="AQ15" s="922">
        <v>200172</v>
      </c>
      <c r="AR15" s="921">
        <v>0.1</v>
      </c>
      <c r="AS15" s="916">
        <v>226564</v>
      </c>
      <c r="AT15" s="921">
        <v>0.2</v>
      </c>
      <c r="AU15" s="456">
        <v>11221357</v>
      </c>
      <c r="AV15" s="749">
        <v>7.9</v>
      </c>
      <c r="AW15" s="183">
        <v>4849897</v>
      </c>
      <c r="AX15" s="178">
        <v>3.4</v>
      </c>
      <c r="AY15" s="456">
        <v>4283899</v>
      </c>
      <c r="AZ15" s="220">
        <v>3</v>
      </c>
      <c r="BA15" s="456">
        <v>7206550</v>
      </c>
      <c r="BB15" s="220">
        <v>5.0999999999999996</v>
      </c>
      <c r="BC15" s="923">
        <v>142485125</v>
      </c>
      <c r="BD15" s="741">
        <v>100</v>
      </c>
      <c r="BE15" s="659"/>
    </row>
    <row r="16" spans="1:57" s="38" customFormat="1" ht="15.75" customHeight="1" x14ac:dyDescent="0.2">
      <c r="A16" s="121" t="s">
        <v>154</v>
      </c>
      <c r="B16" s="135">
        <v>50697910</v>
      </c>
      <c r="C16" s="924">
        <v>31</v>
      </c>
      <c r="D16" s="744">
        <v>1372961</v>
      </c>
      <c r="E16" s="423">
        <v>0.8</v>
      </c>
      <c r="F16" s="420">
        <v>29212</v>
      </c>
      <c r="G16" s="423">
        <v>0</v>
      </c>
      <c r="H16" s="420">
        <v>143533</v>
      </c>
      <c r="I16" s="423">
        <v>0.1</v>
      </c>
      <c r="J16" s="420">
        <v>70210</v>
      </c>
      <c r="K16" s="745">
        <v>0</v>
      </c>
      <c r="L16" s="135">
        <v>6294973</v>
      </c>
      <c r="M16" s="423">
        <v>3.8</v>
      </c>
      <c r="N16" s="420">
        <v>138866</v>
      </c>
      <c r="O16" s="423">
        <v>0.1</v>
      </c>
      <c r="P16" s="421" t="s">
        <v>143</v>
      </c>
      <c r="Q16" s="423" t="s">
        <v>143</v>
      </c>
      <c r="R16" s="421">
        <v>137184</v>
      </c>
      <c r="S16" s="423">
        <v>0.1</v>
      </c>
      <c r="T16" s="125">
        <v>43086</v>
      </c>
      <c r="U16" s="132">
        <v>0</v>
      </c>
      <c r="V16" s="122">
        <v>701152</v>
      </c>
      <c r="W16" s="124">
        <v>0.4</v>
      </c>
      <c r="X16" s="123">
        <v>17611933</v>
      </c>
      <c r="Y16" s="124">
        <v>10.8</v>
      </c>
      <c r="Z16" s="123">
        <v>11871641</v>
      </c>
      <c r="AA16" s="430">
        <v>2602008</v>
      </c>
      <c r="AB16" s="125">
        <v>3138284</v>
      </c>
      <c r="AC16" s="123">
        <v>52967</v>
      </c>
      <c r="AD16" s="124">
        <v>0</v>
      </c>
      <c r="AE16" s="125">
        <v>594739</v>
      </c>
      <c r="AF16" s="132">
        <v>0.4</v>
      </c>
      <c r="AG16" s="193">
        <v>2630696</v>
      </c>
      <c r="AH16" s="161">
        <v>1.6</v>
      </c>
      <c r="AI16" s="467">
        <v>621619</v>
      </c>
      <c r="AJ16" s="221">
        <v>0.4</v>
      </c>
      <c r="AK16" s="909">
        <v>21323519</v>
      </c>
      <c r="AL16" s="910">
        <v>13</v>
      </c>
      <c r="AM16" s="911" t="s">
        <v>143</v>
      </c>
      <c r="AN16" s="753" t="s">
        <v>143</v>
      </c>
      <c r="AO16" s="912">
        <v>11442958</v>
      </c>
      <c r="AP16" s="913">
        <v>7</v>
      </c>
      <c r="AQ16" s="925">
        <v>321368</v>
      </c>
      <c r="AR16" s="913">
        <v>0.2</v>
      </c>
      <c r="AS16" s="909">
        <v>493956</v>
      </c>
      <c r="AT16" s="913">
        <v>0.3</v>
      </c>
      <c r="AU16" s="438">
        <v>21040682</v>
      </c>
      <c r="AV16" s="747">
        <v>12.9</v>
      </c>
      <c r="AW16" s="193">
        <v>6017304</v>
      </c>
      <c r="AX16" s="161">
        <v>3.7</v>
      </c>
      <c r="AY16" s="438">
        <v>6755232</v>
      </c>
      <c r="AZ16" s="221">
        <v>4.0999999999999996</v>
      </c>
      <c r="BA16" s="438">
        <v>15246346</v>
      </c>
      <c r="BB16" s="221">
        <v>9.3000000000000007</v>
      </c>
      <c r="BC16" s="914">
        <v>163782406</v>
      </c>
      <c r="BD16" s="745">
        <v>100</v>
      </c>
      <c r="BE16" s="659"/>
    </row>
    <row r="17" spans="1:57" s="38" customFormat="1" ht="15.75" customHeight="1" x14ac:dyDescent="0.2">
      <c r="A17" s="169" t="s">
        <v>155</v>
      </c>
      <c r="B17" s="145">
        <v>42168942</v>
      </c>
      <c r="C17" s="926">
        <v>32.299999999999997</v>
      </c>
      <c r="D17" s="740">
        <v>775223</v>
      </c>
      <c r="E17" s="403">
        <v>0.6</v>
      </c>
      <c r="F17" s="397">
        <v>30614</v>
      </c>
      <c r="G17" s="403">
        <v>2.3E-2</v>
      </c>
      <c r="H17" s="397">
        <v>170404</v>
      </c>
      <c r="I17" s="403">
        <v>0.1</v>
      </c>
      <c r="J17" s="397">
        <v>103560</v>
      </c>
      <c r="K17" s="741">
        <v>0.1</v>
      </c>
      <c r="L17" s="145">
        <v>5108496</v>
      </c>
      <c r="M17" s="403">
        <v>3.9</v>
      </c>
      <c r="N17" s="397">
        <v>71834</v>
      </c>
      <c r="O17" s="403">
        <v>0.05</v>
      </c>
      <c r="P17" s="401" t="s">
        <v>143</v>
      </c>
      <c r="Q17" s="403" t="s">
        <v>143</v>
      </c>
      <c r="R17" s="401">
        <v>110311</v>
      </c>
      <c r="S17" s="403">
        <v>0.1</v>
      </c>
      <c r="T17" s="106">
        <v>33902</v>
      </c>
      <c r="U17" s="741">
        <v>0.03</v>
      </c>
      <c r="V17" s="103">
        <v>614455</v>
      </c>
      <c r="W17" s="105">
        <v>0.5</v>
      </c>
      <c r="X17" s="104">
        <v>13764822</v>
      </c>
      <c r="Y17" s="105">
        <v>10.5</v>
      </c>
      <c r="Z17" s="106">
        <v>6363982</v>
      </c>
      <c r="AA17" s="408">
        <v>1782881</v>
      </c>
      <c r="AB17" s="397">
        <v>5617959</v>
      </c>
      <c r="AC17" s="740">
        <v>39822</v>
      </c>
      <c r="AD17" s="403">
        <v>0.03</v>
      </c>
      <c r="AE17" s="397">
        <v>2211171</v>
      </c>
      <c r="AF17" s="741">
        <v>1.7</v>
      </c>
      <c r="AG17" s="103">
        <v>1368529</v>
      </c>
      <c r="AH17" s="105">
        <v>1</v>
      </c>
      <c r="AI17" s="408">
        <v>1147834</v>
      </c>
      <c r="AJ17" s="403">
        <v>0.9</v>
      </c>
      <c r="AK17" s="397">
        <v>25434833</v>
      </c>
      <c r="AL17" s="742">
        <v>19.5</v>
      </c>
      <c r="AM17" s="907">
        <v>426</v>
      </c>
      <c r="AN17" s="758">
        <v>2.9999999999999997E-4</v>
      </c>
      <c r="AO17" s="908">
        <v>8358005</v>
      </c>
      <c r="AP17" s="760">
        <v>6.4</v>
      </c>
      <c r="AQ17" s="757">
        <v>128245</v>
      </c>
      <c r="AR17" s="760">
        <v>0.1</v>
      </c>
      <c r="AS17" s="907">
        <v>290685</v>
      </c>
      <c r="AT17" s="760">
        <v>0.2</v>
      </c>
      <c r="AU17" s="907">
        <v>6212415</v>
      </c>
      <c r="AV17" s="758">
        <v>4.8</v>
      </c>
      <c r="AW17" s="145">
        <v>5512295</v>
      </c>
      <c r="AX17" s="403">
        <v>4.2</v>
      </c>
      <c r="AY17" s="397">
        <v>2279508</v>
      </c>
      <c r="AZ17" s="403">
        <v>1.7</v>
      </c>
      <c r="BA17" s="397">
        <v>14746970</v>
      </c>
      <c r="BB17" s="904">
        <v>11.3</v>
      </c>
      <c r="BC17" s="923">
        <v>130683301</v>
      </c>
      <c r="BD17" s="741">
        <v>100.03030000000001</v>
      </c>
      <c r="BE17" s="659"/>
    </row>
    <row r="18" spans="1:57" s="38" customFormat="1" ht="15.75" customHeight="1" x14ac:dyDescent="0.2">
      <c r="A18" s="121" t="s">
        <v>157</v>
      </c>
      <c r="B18" s="135">
        <v>93075369</v>
      </c>
      <c r="C18" s="423">
        <v>41.7</v>
      </c>
      <c r="D18" s="420">
        <v>1298422</v>
      </c>
      <c r="E18" s="423">
        <v>0.6</v>
      </c>
      <c r="F18" s="420">
        <v>54262</v>
      </c>
      <c r="G18" s="423">
        <v>0</v>
      </c>
      <c r="H18" s="420">
        <v>340070</v>
      </c>
      <c r="I18" s="423">
        <v>0.2</v>
      </c>
      <c r="J18" s="420">
        <v>235429</v>
      </c>
      <c r="K18" s="745">
        <v>0.1</v>
      </c>
      <c r="L18" s="135">
        <v>9760342</v>
      </c>
      <c r="M18" s="423">
        <v>4.4000000000000004</v>
      </c>
      <c r="N18" s="420">
        <v>114054</v>
      </c>
      <c r="O18" s="423">
        <v>0.1</v>
      </c>
      <c r="P18" s="421" t="s">
        <v>143</v>
      </c>
      <c r="Q18" s="423" t="s">
        <v>143</v>
      </c>
      <c r="R18" s="421">
        <v>203053</v>
      </c>
      <c r="S18" s="423">
        <v>0.1</v>
      </c>
      <c r="T18" s="125">
        <v>63892</v>
      </c>
      <c r="U18" s="132">
        <v>0</v>
      </c>
      <c r="V18" s="122">
        <v>1171769</v>
      </c>
      <c r="W18" s="124">
        <v>0.5</v>
      </c>
      <c r="X18" s="123">
        <v>7683632</v>
      </c>
      <c r="Y18" s="124">
        <v>3.4</v>
      </c>
      <c r="Z18" s="123">
        <v>2544865</v>
      </c>
      <c r="AA18" s="123">
        <v>804903</v>
      </c>
      <c r="AB18" s="125">
        <v>4333864</v>
      </c>
      <c r="AC18" s="125">
        <v>69636</v>
      </c>
      <c r="AD18" s="124">
        <v>0</v>
      </c>
      <c r="AE18" s="125">
        <v>1601697</v>
      </c>
      <c r="AF18" s="132">
        <v>0.7</v>
      </c>
      <c r="AG18" s="135">
        <v>2149468</v>
      </c>
      <c r="AH18" s="423">
        <v>1</v>
      </c>
      <c r="AI18" s="420">
        <v>1762962</v>
      </c>
      <c r="AJ18" s="423">
        <v>0.8</v>
      </c>
      <c r="AK18" s="420">
        <v>46928543</v>
      </c>
      <c r="AL18" s="746">
        <v>21</v>
      </c>
      <c r="AM18" s="905">
        <v>138139</v>
      </c>
      <c r="AN18" s="753">
        <v>0.1</v>
      </c>
      <c r="AO18" s="752">
        <v>13465594</v>
      </c>
      <c r="AP18" s="756">
        <v>6</v>
      </c>
      <c r="AQ18" s="927">
        <v>966151</v>
      </c>
      <c r="AR18" s="756">
        <v>0.4</v>
      </c>
      <c r="AS18" s="905">
        <v>141236</v>
      </c>
      <c r="AT18" s="756">
        <v>0.1</v>
      </c>
      <c r="AU18" s="905">
        <v>6269370</v>
      </c>
      <c r="AV18" s="753">
        <v>2.8</v>
      </c>
      <c r="AW18" s="135">
        <v>5513238</v>
      </c>
      <c r="AX18" s="423">
        <v>2.5</v>
      </c>
      <c r="AY18" s="420">
        <v>14538465</v>
      </c>
      <c r="AZ18" s="423">
        <v>6.5</v>
      </c>
      <c r="BA18" s="420">
        <v>15615400</v>
      </c>
      <c r="BB18" s="906">
        <v>7</v>
      </c>
      <c r="BC18" s="744">
        <v>223160193</v>
      </c>
      <c r="BD18" s="745">
        <v>100</v>
      </c>
      <c r="BE18" s="659"/>
    </row>
    <row r="19" spans="1:57" s="38" customFormat="1" ht="15.75" customHeight="1" x14ac:dyDescent="0.2">
      <c r="A19" s="169" t="s">
        <v>158</v>
      </c>
      <c r="B19" s="145">
        <v>54152389</v>
      </c>
      <c r="C19" s="403">
        <v>38.200000000000003</v>
      </c>
      <c r="D19" s="397">
        <v>1262802</v>
      </c>
      <c r="E19" s="403">
        <v>0.9</v>
      </c>
      <c r="F19" s="397">
        <v>40925</v>
      </c>
      <c r="G19" s="403">
        <v>0</v>
      </c>
      <c r="H19" s="397">
        <v>200805</v>
      </c>
      <c r="I19" s="403">
        <v>0.1</v>
      </c>
      <c r="J19" s="397">
        <v>119751</v>
      </c>
      <c r="K19" s="741">
        <v>0.1</v>
      </c>
      <c r="L19" s="145">
        <v>6333951</v>
      </c>
      <c r="M19" s="403">
        <v>4.5</v>
      </c>
      <c r="N19" s="397">
        <v>19616</v>
      </c>
      <c r="O19" s="403">
        <v>0</v>
      </c>
      <c r="P19" s="401">
        <v>0</v>
      </c>
      <c r="Q19" s="403">
        <v>0</v>
      </c>
      <c r="R19" s="401">
        <v>191348</v>
      </c>
      <c r="S19" s="403">
        <v>0.1</v>
      </c>
      <c r="T19" s="106">
        <v>56211</v>
      </c>
      <c r="U19" s="142">
        <v>0</v>
      </c>
      <c r="V19" s="103">
        <v>802945</v>
      </c>
      <c r="W19" s="105">
        <v>0.6</v>
      </c>
      <c r="X19" s="104">
        <v>12783156</v>
      </c>
      <c r="Y19" s="105">
        <v>9</v>
      </c>
      <c r="Z19" s="104">
        <v>11760878</v>
      </c>
      <c r="AA19" s="104">
        <v>1022026</v>
      </c>
      <c r="AB19" s="106">
        <v>252</v>
      </c>
      <c r="AC19" s="106">
        <v>78764</v>
      </c>
      <c r="AD19" s="105">
        <v>0.1</v>
      </c>
      <c r="AE19" s="106">
        <v>544153</v>
      </c>
      <c r="AF19" s="142">
        <v>0.4</v>
      </c>
      <c r="AG19" s="145">
        <v>2406421</v>
      </c>
      <c r="AH19" s="403">
        <v>1.7</v>
      </c>
      <c r="AI19" s="397">
        <v>694597</v>
      </c>
      <c r="AJ19" s="403">
        <v>0.5</v>
      </c>
      <c r="AK19" s="397">
        <v>24764408</v>
      </c>
      <c r="AL19" s="742">
        <v>17.5</v>
      </c>
      <c r="AM19" s="907">
        <v>0</v>
      </c>
      <c r="AN19" s="758">
        <v>0</v>
      </c>
      <c r="AO19" s="908">
        <v>9854982</v>
      </c>
      <c r="AP19" s="760">
        <v>6.9</v>
      </c>
      <c r="AQ19" s="757">
        <v>340920</v>
      </c>
      <c r="AR19" s="760">
        <v>0.2</v>
      </c>
      <c r="AS19" s="907">
        <v>246353</v>
      </c>
      <c r="AT19" s="760">
        <v>0.2</v>
      </c>
      <c r="AU19" s="907">
        <v>3038362</v>
      </c>
      <c r="AV19" s="758">
        <v>2.1</v>
      </c>
      <c r="AW19" s="145">
        <v>1925381</v>
      </c>
      <c r="AX19" s="403">
        <v>1.4</v>
      </c>
      <c r="AY19" s="397">
        <v>8707220</v>
      </c>
      <c r="AZ19" s="403">
        <v>6.1</v>
      </c>
      <c r="BA19" s="397">
        <v>13402200</v>
      </c>
      <c r="BB19" s="904">
        <v>9.4</v>
      </c>
      <c r="BC19" s="740">
        <v>141967660</v>
      </c>
      <c r="BD19" s="741">
        <v>100</v>
      </c>
      <c r="BE19" s="659"/>
    </row>
    <row r="20" spans="1:57" s="38" customFormat="1" ht="15.75" customHeight="1" x14ac:dyDescent="0.2">
      <c r="A20" s="121" t="s">
        <v>159</v>
      </c>
      <c r="B20" s="135">
        <v>62539353</v>
      </c>
      <c r="C20" s="423">
        <v>37.1</v>
      </c>
      <c r="D20" s="420">
        <v>1265947</v>
      </c>
      <c r="E20" s="423">
        <v>0.8</v>
      </c>
      <c r="F20" s="420">
        <v>45526</v>
      </c>
      <c r="G20" s="423">
        <v>0</v>
      </c>
      <c r="H20" s="420">
        <v>223269</v>
      </c>
      <c r="I20" s="423">
        <v>0.1</v>
      </c>
      <c r="J20" s="420">
        <v>133053</v>
      </c>
      <c r="K20" s="745">
        <v>0.1</v>
      </c>
      <c r="L20" s="135">
        <v>6884774</v>
      </c>
      <c r="M20" s="423">
        <v>4.0999999999999996</v>
      </c>
      <c r="N20" s="420">
        <v>121341</v>
      </c>
      <c r="O20" s="423">
        <v>0.1</v>
      </c>
      <c r="P20" s="421" t="s">
        <v>143</v>
      </c>
      <c r="Q20" s="423" t="s">
        <v>143</v>
      </c>
      <c r="R20" s="421">
        <v>191715</v>
      </c>
      <c r="S20" s="423">
        <v>0.1</v>
      </c>
      <c r="T20" s="125">
        <v>56318</v>
      </c>
      <c r="U20" s="132">
        <v>0</v>
      </c>
      <c r="V20" s="122">
        <v>966960</v>
      </c>
      <c r="W20" s="124">
        <v>0.6</v>
      </c>
      <c r="X20" s="123">
        <v>13595164</v>
      </c>
      <c r="Y20" s="124">
        <v>8.1</v>
      </c>
      <c r="Z20" s="123">
        <v>11521310</v>
      </c>
      <c r="AA20" s="123">
        <v>2073671</v>
      </c>
      <c r="AB20" s="125">
        <v>183</v>
      </c>
      <c r="AC20" s="125">
        <v>79110</v>
      </c>
      <c r="AD20" s="124">
        <v>0</v>
      </c>
      <c r="AE20" s="125">
        <v>644165</v>
      </c>
      <c r="AF20" s="132">
        <v>0.4</v>
      </c>
      <c r="AG20" s="135">
        <v>1939861</v>
      </c>
      <c r="AH20" s="423">
        <v>1.1000000000000001</v>
      </c>
      <c r="AI20" s="420">
        <v>966245</v>
      </c>
      <c r="AJ20" s="423">
        <v>0.6</v>
      </c>
      <c r="AK20" s="420">
        <v>24334288</v>
      </c>
      <c r="AL20" s="746">
        <v>14.4</v>
      </c>
      <c r="AM20" s="905">
        <v>30610</v>
      </c>
      <c r="AN20" s="753">
        <v>0</v>
      </c>
      <c r="AO20" s="752">
        <v>10536623</v>
      </c>
      <c r="AP20" s="756">
        <v>6.2</v>
      </c>
      <c r="AQ20" s="927">
        <v>246858</v>
      </c>
      <c r="AR20" s="756">
        <v>0.1</v>
      </c>
      <c r="AS20" s="905">
        <v>271685</v>
      </c>
      <c r="AT20" s="756">
        <v>0.2</v>
      </c>
      <c r="AU20" s="905">
        <v>8855956</v>
      </c>
      <c r="AV20" s="753">
        <v>5.3</v>
      </c>
      <c r="AW20" s="135">
        <v>1639521</v>
      </c>
      <c r="AX20" s="423">
        <v>1</v>
      </c>
      <c r="AY20" s="420">
        <v>16169425</v>
      </c>
      <c r="AZ20" s="423">
        <v>9.6</v>
      </c>
      <c r="BA20" s="420">
        <v>16867900</v>
      </c>
      <c r="BB20" s="906">
        <v>10</v>
      </c>
      <c r="BC20" s="744">
        <v>168605667</v>
      </c>
      <c r="BD20" s="745">
        <v>100</v>
      </c>
      <c r="BE20" s="659"/>
    </row>
    <row r="21" spans="1:57" s="38" customFormat="1" ht="15.75" customHeight="1" x14ac:dyDescent="0.2">
      <c r="A21" s="169" t="s">
        <v>163</v>
      </c>
      <c r="B21" s="145">
        <v>57888269</v>
      </c>
      <c r="C21" s="403">
        <v>51.4</v>
      </c>
      <c r="D21" s="397">
        <v>738031</v>
      </c>
      <c r="E21" s="403">
        <v>0.7</v>
      </c>
      <c r="F21" s="397">
        <v>38199</v>
      </c>
      <c r="G21" s="403">
        <v>0</v>
      </c>
      <c r="H21" s="397">
        <v>249594</v>
      </c>
      <c r="I21" s="403">
        <v>0.2</v>
      </c>
      <c r="J21" s="397">
        <v>150924</v>
      </c>
      <c r="K21" s="741">
        <v>0.1</v>
      </c>
      <c r="L21" s="145">
        <v>6007795</v>
      </c>
      <c r="M21" s="403">
        <v>5.3</v>
      </c>
      <c r="N21" s="397">
        <v>50866</v>
      </c>
      <c r="O21" s="403">
        <v>0.1</v>
      </c>
      <c r="P21" s="401" t="s">
        <v>143</v>
      </c>
      <c r="Q21" s="403" t="s">
        <v>143</v>
      </c>
      <c r="R21" s="401">
        <v>164961</v>
      </c>
      <c r="S21" s="403">
        <v>0.2</v>
      </c>
      <c r="T21" s="106">
        <v>49936</v>
      </c>
      <c r="U21" s="142">
        <v>0.1</v>
      </c>
      <c r="V21" s="103">
        <v>896907</v>
      </c>
      <c r="W21" s="105">
        <v>0.8</v>
      </c>
      <c r="X21" s="104">
        <v>1807110</v>
      </c>
      <c r="Y21" s="105">
        <v>1.6</v>
      </c>
      <c r="Z21" s="104">
        <v>1361232</v>
      </c>
      <c r="AA21" s="104">
        <v>445126</v>
      </c>
      <c r="AB21" s="106">
        <v>752</v>
      </c>
      <c r="AC21" s="106">
        <v>42015</v>
      </c>
      <c r="AD21" s="105">
        <v>0</v>
      </c>
      <c r="AE21" s="106">
        <v>766401</v>
      </c>
      <c r="AF21" s="142">
        <v>0.7</v>
      </c>
      <c r="AG21" s="145">
        <v>1668451</v>
      </c>
      <c r="AH21" s="403">
        <v>1.5</v>
      </c>
      <c r="AI21" s="397">
        <v>694105</v>
      </c>
      <c r="AJ21" s="403">
        <v>0.6</v>
      </c>
      <c r="AK21" s="397">
        <v>19382864</v>
      </c>
      <c r="AL21" s="742">
        <v>17.2</v>
      </c>
      <c r="AM21" s="907" t="s">
        <v>143</v>
      </c>
      <c r="AN21" s="758" t="s">
        <v>143</v>
      </c>
      <c r="AO21" s="908">
        <v>7110378</v>
      </c>
      <c r="AP21" s="760">
        <v>6.3</v>
      </c>
      <c r="AQ21" s="757">
        <v>624144</v>
      </c>
      <c r="AR21" s="760">
        <v>0.6</v>
      </c>
      <c r="AS21" s="907">
        <v>47665</v>
      </c>
      <c r="AT21" s="760">
        <v>0</v>
      </c>
      <c r="AU21" s="907">
        <v>1240996</v>
      </c>
      <c r="AV21" s="758">
        <v>1.1000000000000001</v>
      </c>
      <c r="AW21" s="145">
        <v>3130049</v>
      </c>
      <c r="AX21" s="403">
        <v>2.8</v>
      </c>
      <c r="AY21" s="397">
        <v>2804701</v>
      </c>
      <c r="AZ21" s="403">
        <v>2.5</v>
      </c>
      <c r="BA21" s="397">
        <v>7015900</v>
      </c>
      <c r="BB21" s="904">
        <v>6.2</v>
      </c>
      <c r="BC21" s="740">
        <v>112570261</v>
      </c>
      <c r="BD21" s="741">
        <v>100</v>
      </c>
      <c r="BE21" s="659"/>
    </row>
    <row r="22" spans="1:57" s="38" customFormat="1" ht="15.75" customHeight="1" x14ac:dyDescent="0.2">
      <c r="A22" s="121" t="s">
        <v>166</v>
      </c>
      <c r="B22" s="135">
        <v>97414545</v>
      </c>
      <c r="C22" s="423">
        <v>45.6</v>
      </c>
      <c r="D22" s="420">
        <v>956414</v>
      </c>
      <c r="E22" s="423">
        <v>0.5</v>
      </c>
      <c r="F22" s="420">
        <v>69225</v>
      </c>
      <c r="G22" s="423">
        <v>0</v>
      </c>
      <c r="H22" s="420">
        <v>452989</v>
      </c>
      <c r="I22" s="423">
        <v>0.2</v>
      </c>
      <c r="J22" s="420">
        <v>274204</v>
      </c>
      <c r="K22" s="745">
        <v>0.1</v>
      </c>
      <c r="L22" s="135">
        <v>9375274</v>
      </c>
      <c r="M22" s="423">
        <v>4.4000000000000004</v>
      </c>
      <c r="N22" s="420">
        <v>6003</v>
      </c>
      <c r="O22" s="423">
        <v>0</v>
      </c>
      <c r="P22" s="421" t="s">
        <v>143</v>
      </c>
      <c r="Q22" s="423" t="s">
        <v>143</v>
      </c>
      <c r="R22" s="421">
        <v>213167</v>
      </c>
      <c r="S22" s="423">
        <v>0.1</v>
      </c>
      <c r="T22" s="125">
        <v>64528</v>
      </c>
      <c r="U22" s="132">
        <v>0</v>
      </c>
      <c r="V22" s="122">
        <v>1684299</v>
      </c>
      <c r="W22" s="124">
        <v>0.8</v>
      </c>
      <c r="X22" s="123">
        <f>+Z22+AA22+AB22</f>
        <v>4632260</v>
      </c>
      <c r="Y22" s="124">
        <v>2.2000000000000002</v>
      </c>
      <c r="Z22" s="123">
        <v>3812165</v>
      </c>
      <c r="AA22" s="123">
        <v>819519</v>
      </c>
      <c r="AB22" s="125">
        <v>576</v>
      </c>
      <c r="AC22" s="125">
        <v>64914</v>
      </c>
      <c r="AD22" s="124">
        <v>0</v>
      </c>
      <c r="AE22" s="125">
        <v>1332442</v>
      </c>
      <c r="AF22" s="132">
        <v>0.6</v>
      </c>
      <c r="AG22" s="135">
        <v>3981663</v>
      </c>
      <c r="AH22" s="423">
        <v>1.9</v>
      </c>
      <c r="AI22" s="420">
        <v>1385573</v>
      </c>
      <c r="AJ22" s="423">
        <v>0.7</v>
      </c>
      <c r="AK22" s="420">
        <v>41095222</v>
      </c>
      <c r="AL22" s="746">
        <v>19.2</v>
      </c>
      <c r="AM22" s="905" t="s">
        <v>143</v>
      </c>
      <c r="AN22" s="753" t="s">
        <v>143</v>
      </c>
      <c r="AO22" s="752">
        <v>11790911</v>
      </c>
      <c r="AP22" s="756">
        <v>5.5</v>
      </c>
      <c r="AQ22" s="927">
        <v>1052427</v>
      </c>
      <c r="AR22" s="756">
        <v>0.5</v>
      </c>
      <c r="AS22" s="905">
        <v>17194</v>
      </c>
      <c r="AT22" s="756">
        <v>0</v>
      </c>
      <c r="AU22" s="905">
        <v>6956314</v>
      </c>
      <c r="AV22" s="753">
        <v>3.3</v>
      </c>
      <c r="AW22" s="135">
        <v>10775448</v>
      </c>
      <c r="AX22" s="423">
        <v>5</v>
      </c>
      <c r="AY22" s="420">
        <v>4923101</v>
      </c>
      <c r="AZ22" s="423">
        <v>2.2999999999999998</v>
      </c>
      <c r="BA22" s="420">
        <v>15084678</v>
      </c>
      <c r="BB22" s="906">
        <v>7.1</v>
      </c>
      <c r="BC22" s="744">
        <f>SUBTOTAL(9,B22,D22,F22,H22,J22,L22,N22,P22,R22,T22,V22,X22,AC22,AE22,AG22,AI22,AK22,AM22,AO22,AQ22,AS22,AU22,AW22,AY22,BA22)</f>
        <v>213602795</v>
      </c>
      <c r="BD22" s="745">
        <f>SUBTOTAL(9,C22,E22,G22,I22,K22,M22,O22,Q22,S22,U22,W22,Y22,AD22,AF22,AH22,AJ22,AL22,AN22,AP22,AR22,AT22,AV22,AX22,AZ22,BB22)</f>
        <v>100</v>
      </c>
      <c r="BE22" s="659"/>
    </row>
    <row r="23" spans="1:57" s="38" customFormat="1" ht="15.75" customHeight="1" x14ac:dyDescent="0.2">
      <c r="A23" s="169" t="s">
        <v>167</v>
      </c>
      <c r="B23" s="145">
        <v>49566290</v>
      </c>
      <c r="C23" s="403">
        <v>45.9</v>
      </c>
      <c r="D23" s="397">
        <v>733873</v>
      </c>
      <c r="E23" s="403">
        <v>0.7</v>
      </c>
      <c r="F23" s="397">
        <v>37528</v>
      </c>
      <c r="G23" s="403">
        <v>0</v>
      </c>
      <c r="H23" s="397">
        <v>245341</v>
      </c>
      <c r="I23" s="403">
        <v>0.2</v>
      </c>
      <c r="J23" s="397">
        <v>148412</v>
      </c>
      <c r="K23" s="741">
        <v>0.1</v>
      </c>
      <c r="L23" s="145">
        <v>5496242</v>
      </c>
      <c r="M23" s="403">
        <v>5.0999999999999996</v>
      </c>
      <c r="N23" s="397" t="s">
        <v>143</v>
      </c>
      <c r="O23" s="403" t="s">
        <v>143</v>
      </c>
      <c r="P23" s="401" t="s">
        <v>143</v>
      </c>
      <c r="Q23" s="403" t="s">
        <v>143</v>
      </c>
      <c r="R23" s="401">
        <v>164685</v>
      </c>
      <c r="S23" s="403">
        <v>0.2</v>
      </c>
      <c r="T23" s="106">
        <v>49853</v>
      </c>
      <c r="U23" s="142">
        <v>0.1</v>
      </c>
      <c r="V23" s="103">
        <v>952801</v>
      </c>
      <c r="W23" s="105">
        <v>0.9</v>
      </c>
      <c r="X23" s="104">
        <v>3634001</v>
      </c>
      <c r="Y23" s="105">
        <v>3.4</v>
      </c>
      <c r="Z23" s="104">
        <v>3266091</v>
      </c>
      <c r="AA23" s="104">
        <v>367260</v>
      </c>
      <c r="AB23" s="106">
        <v>650</v>
      </c>
      <c r="AC23" s="106">
        <v>40288</v>
      </c>
      <c r="AD23" s="105">
        <v>0</v>
      </c>
      <c r="AE23" s="106">
        <v>718841</v>
      </c>
      <c r="AF23" s="142">
        <v>0.7</v>
      </c>
      <c r="AG23" s="145">
        <v>1361251</v>
      </c>
      <c r="AH23" s="403">
        <v>1.3</v>
      </c>
      <c r="AI23" s="397">
        <v>255544</v>
      </c>
      <c r="AJ23" s="403">
        <v>0.2</v>
      </c>
      <c r="AK23" s="397">
        <v>18397465</v>
      </c>
      <c r="AL23" s="742">
        <v>17</v>
      </c>
      <c r="AM23" s="907" t="s">
        <v>143</v>
      </c>
      <c r="AN23" s="758" t="s">
        <v>143</v>
      </c>
      <c r="AO23" s="908">
        <v>6892405</v>
      </c>
      <c r="AP23" s="760">
        <v>6.4</v>
      </c>
      <c r="AQ23" s="757">
        <v>227456</v>
      </c>
      <c r="AR23" s="760">
        <v>0.2</v>
      </c>
      <c r="AS23" s="907">
        <v>147863</v>
      </c>
      <c r="AT23" s="760">
        <v>0.1</v>
      </c>
      <c r="AU23" s="907">
        <v>3591662</v>
      </c>
      <c r="AV23" s="758">
        <v>3.3</v>
      </c>
      <c r="AW23" s="145">
        <v>5288125</v>
      </c>
      <c r="AX23" s="403">
        <v>4.9000000000000004</v>
      </c>
      <c r="AY23" s="397">
        <v>2559005</v>
      </c>
      <c r="AZ23" s="403">
        <v>2.4</v>
      </c>
      <c r="BA23" s="397">
        <v>7423500</v>
      </c>
      <c r="BB23" s="904">
        <v>6.9</v>
      </c>
      <c r="BC23" s="740">
        <v>107932431</v>
      </c>
      <c r="BD23" s="741">
        <v>100</v>
      </c>
      <c r="BE23" s="928"/>
    </row>
    <row r="24" spans="1:57" s="38" customFormat="1" ht="15.75" customHeight="1" x14ac:dyDescent="0.2">
      <c r="A24" s="121" t="s">
        <v>168</v>
      </c>
      <c r="B24" s="135">
        <v>101737438</v>
      </c>
      <c r="C24" s="423">
        <v>48</v>
      </c>
      <c r="D24" s="420">
        <v>1011509</v>
      </c>
      <c r="E24" s="423">
        <v>0.5</v>
      </c>
      <c r="F24" s="420">
        <v>79547</v>
      </c>
      <c r="G24" s="423">
        <v>0</v>
      </c>
      <c r="H24" s="420">
        <v>553568</v>
      </c>
      <c r="I24" s="423">
        <v>0.3</v>
      </c>
      <c r="J24" s="420">
        <v>364038</v>
      </c>
      <c r="K24" s="745">
        <v>0.2</v>
      </c>
      <c r="L24" s="135">
        <v>10522008</v>
      </c>
      <c r="M24" s="423">
        <v>5</v>
      </c>
      <c r="N24" s="420">
        <v>3521</v>
      </c>
      <c r="O24" s="423">
        <v>0</v>
      </c>
      <c r="P24" s="421">
        <v>0</v>
      </c>
      <c r="Q24" s="423">
        <v>0</v>
      </c>
      <c r="R24" s="421">
        <v>201118</v>
      </c>
      <c r="S24" s="423">
        <v>0.1</v>
      </c>
      <c r="T24" s="125">
        <v>58771</v>
      </c>
      <c r="U24" s="132">
        <v>0</v>
      </c>
      <c r="V24" s="122">
        <v>1699403</v>
      </c>
      <c r="W24" s="124">
        <v>0.8</v>
      </c>
      <c r="X24" s="123">
        <v>4193018</v>
      </c>
      <c r="Y24" s="124">
        <v>2</v>
      </c>
      <c r="Z24" s="123">
        <v>3727628</v>
      </c>
      <c r="AA24" s="123">
        <v>438157</v>
      </c>
      <c r="AB24" s="125">
        <v>27233</v>
      </c>
      <c r="AC24" s="125">
        <v>60438</v>
      </c>
      <c r="AD24" s="124">
        <v>0</v>
      </c>
      <c r="AE24" s="125">
        <v>1807599</v>
      </c>
      <c r="AF24" s="132">
        <v>0.9</v>
      </c>
      <c r="AG24" s="135">
        <v>3364686</v>
      </c>
      <c r="AH24" s="423">
        <v>1.6</v>
      </c>
      <c r="AI24" s="420">
        <v>1622906</v>
      </c>
      <c r="AJ24" s="423">
        <v>0.8</v>
      </c>
      <c r="AK24" s="420">
        <v>39247025</v>
      </c>
      <c r="AL24" s="746">
        <v>18.5</v>
      </c>
      <c r="AM24" s="905">
        <v>200464</v>
      </c>
      <c r="AN24" s="753">
        <v>0.1</v>
      </c>
      <c r="AO24" s="752">
        <v>11662114</v>
      </c>
      <c r="AP24" s="756">
        <v>5.5</v>
      </c>
      <c r="AQ24" s="927">
        <v>386228</v>
      </c>
      <c r="AR24" s="756">
        <v>0.2</v>
      </c>
      <c r="AS24" s="905">
        <v>934827</v>
      </c>
      <c r="AT24" s="756">
        <v>0.4</v>
      </c>
      <c r="AU24" s="905">
        <v>3569447</v>
      </c>
      <c r="AV24" s="753">
        <v>1.7</v>
      </c>
      <c r="AW24" s="135">
        <v>997164</v>
      </c>
      <c r="AX24" s="423">
        <v>0.5</v>
      </c>
      <c r="AY24" s="420">
        <v>7789029</v>
      </c>
      <c r="AZ24" s="423">
        <v>3.7</v>
      </c>
      <c r="BA24" s="420">
        <v>19947300</v>
      </c>
      <c r="BB24" s="906">
        <v>9.4</v>
      </c>
      <c r="BC24" s="744">
        <v>212013166</v>
      </c>
      <c r="BD24" s="745">
        <v>100</v>
      </c>
      <c r="BE24" s="659"/>
    </row>
    <row r="25" spans="1:57" s="38" customFormat="1" ht="15.75" customHeight="1" x14ac:dyDescent="0.2">
      <c r="A25" s="169" t="s">
        <v>171</v>
      </c>
      <c r="B25" s="145">
        <v>68620452</v>
      </c>
      <c r="C25" s="403">
        <v>51.5</v>
      </c>
      <c r="D25" s="397">
        <v>826868</v>
      </c>
      <c r="E25" s="403">
        <v>0.6</v>
      </c>
      <c r="F25" s="397">
        <v>50989</v>
      </c>
      <c r="G25" s="403">
        <v>0</v>
      </c>
      <c r="H25" s="397">
        <v>354928</v>
      </c>
      <c r="I25" s="403">
        <v>0.3</v>
      </c>
      <c r="J25" s="397">
        <v>233481</v>
      </c>
      <c r="K25" s="741">
        <v>0.2</v>
      </c>
      <c r="L25" s="145">
        <v>7201308</v>
      </c>
      <c r="M25" s="403">
        <v>5.4</v>
      </c>
      <c r="N25" s="808">
        <v>22218</v>
      </c>
      <c r="O25" s="178">
        <v>0</v>
      </c>
      <c r="P25" s="808">
        <v>0</v>
      </c>
      <c r="Q25" s="808">
        <v>0</v>
      </c>
      <c r="R25" s="808">
        <v>170899</v>
      </c>
      <c r="S25" s="403">
        <v>0.1</v>
      </c>
      <c r="T25" s="106">
        <v>49940</v>
      </c>
      <c r="U25" s="142">
        <v>0</v>
      </c>
      <c r="V25" s="103">
        <v>1171301</v>
      </c>
      <c r="W25" s="105">
        <v>0.9</v>
      </c>
      <c r="X25" s="104">
        <v>3215077</v>
      </c>
      <c r="Y25" s="105">
        <v>2.4</v>
      </c>
      <c r="Z25" s="104">
        <v>2768956</v>
      </c>
      <c r="AA25" s="104">
        <v>423328</v>
      </c>
      <c r="AB25" s="106">
        <v>22793</v>
      </c>
      <c r="AC25" s="106">
        <v>46223</v>
      </c>
      <c r="AD25" s="105">
        <v>0</v>
      </c>
      <c r="AE25" s="106">
        <v>1271739</v>
      </c>
      <c r="AF25" s="142">
        <v>1</v>
      </c>
      <c r="AG25" s="145">
        <v>1760052</v>
      </c>
      <c r="AH25" s="403">
        <v>1.3</v>
      </c>
      <c r="AI25" s="397">
        <v>1051596</v>
      </c>
      <c r="AJ25" s="403">
        <v>0.8</v>
      </c>
      <c r="AK25" s="397">
        <v>22535437</v>
      </c>
      <c r="AL25" s="742">
        <v>16.899999999999999</v>
      </c>
      <c r="AM25" s="808">
        <v>152084</v>
      </c>
      <c r="AN25" s="472">
        <v>0.1</v>
      </c>
      <c r="AO25" s="908">
        <v>7860944</v>
      </c>
      <c r="AP25" s="760">
        <v>5.9</v>
      </c>
      <c r="AQ25" s="757">
        <v>103131</v>
      </c>
      <c r="AR25" s="760">
        <v>0.1</v>
      </c>
      <c r="AS25" s="907">
        <v>159099</v>
      </c>
      <c r="AT25" s="760">
        <v>0.1</v>
      </c>
      <c r="AU25" s="907">
        <v>73110</v>
      </c>
      <c r="AV25" s="758">
        <v>0.1</v>
      </c>
      <c r="AW25" s="145">
        <v>3419459</v>
      </c>
      <c r="AX25" s="403">
        <v>2.6</v>
      </c>
      <c r="AY25" s="397">
        <v>2753782</v>
      </c>
      <c r="AZ25" s="403">
        <v>2.1</v>
      </c>
      <c r="BA25" s="397">
        <v>10226200</v>
      </c>
      <c r="BB25" s="904">
        <v>7.7</v>
      </c>
      <c r="BC25" s="740">
        <v>133330317</v>
      </c>
      <c r="BD25" s="741">
        <v>100</v>
      </c>
      <c r="BE25" s="659"/>
    </row>
    <row r="26" spans="1:57" s="38" customFormat="1" ht="15.75" customHeight="1" x14ac:dyDescent="0.2">
      <c r="A26" s="121" t="s">
        <v>172</v>
      </c>
      <c r="B26" s="135">
        <v>91630705</v>
      </c>
      <c r="C26" s="423">
        <v>43.7</v>
      </c>
      <c r="D26" s="420">
        <v>1010991</v>
      </c>
      <c r="E26" s="423">
        <v>0.5</v>
      </c>
      <c r="F26" s="420">
        <v>121060</v>
      </c>
      <c r="G26" s="423">
        <v>0.1</v>
      </c>
      <c r="H26" s="420">
        <v>600797</v>
      </c>
      <c r="I26" s="423">
        <v>0.3</v>
      </c>
      <c r="J26" s="420">
        <v>369438</v>
      </c>
      <c r="K26" s="745">
        <v>0.2</v>
      </c>
      <c r="L26" s="135">
        <v>9842680</v>
      </c>
      <c r="M26" s="423">
        <v>4.7</v>
      </c>
      <c r="N26" s="420">
        <v>91710</v>
      </c>
      <c r="O26" s="423">
        <v>0</v>
      </c>
      <c r="P26" s="421">
        <v>0</v>
      </c>
      <c r="Q26" s="423">
        <v>0</v>
      </c>
      <c r="R26" s="421">
        <v>297402</v>
      </c>
      <c r="S26" s="423">
        <v>0.1</v>
      </c>
      <c r="T26" s="125">
        <v>105090</v>
      </c>
      <c r="U26" s="132">
        <v>0.1</v>
      </c>
      <c r="V26" s="122">
        <v>1194224</v>
      </c>
      <c r="W26" s="124">
        <v>0.6</v>
      </c>
      <c r="X26" s="123">
        <v>5479739</v>
      </c>
      <c r="Y26" s="124">
        <v>2.6</v>
      </c>
      <c r="Z26" s="123">
        <v>5037593</v>
      </c>
      <c r="AA26" s="123">
        <v>441569</v>
      </c>
      <c r="AB26" s="125">
        <v>577</v>
      </c>
      <c r="AC26" s="125">
        <v>69886</v>
      </c>
      <c r="AD26" s="124">
        <v>0</v>
      </c>
      <c r="AE26" s="125">
        <v>1393860</v>
      </c>
      <c r="AF26" s="132">
        <v>0.7</v>
      </c>
      <c r="AG26" s="135">
        <v>1804521</v>
      </c>
      <c r="AH26" s="423">
        <v>0.9</v>
      </c>
      <c r="AI26" s="420">
        <v>2528809</v>
      </c>
      <c r="AJ26" s="423">
        <v>1.2</v>
      </c>
      <c r="AK26" s="420">
        <v>38762310</v>
      </c>
      <c r="AL26" s="746">
        <v>18.5</v>
      </c>
      <c r="AM26" s="905">
        <v>0</v>
      </c>
      <c r="AN26" s="753">
        <v>0</v>
      </c>
      <c r="AO26" s="752">
        <v>27732164</v>
      </c>
      <c r="AP26" s="756">
        <v>13.2</v>
      </c>
      <c r="AQ26" s="927">
        <v>204300</v>
      </c>
      <c r="AR26" s="756">
        <v>0.1</v>
      </c>
      <c r="AS26" s="905">
        <v>317320</v>
      </c>
      <c r="AT26" s="756">
        <v>0.2</v>
      </c>
      <c r="AU26" s="905">
        <v>2358407</v>
      </c>
      <c r="AV26" s="753">
        <v>1.1000000000000001</v>
      </c>
      <c r="AW26" s="135">
        <v>4266708</v>
      </c>
      <c r="AX26" s="423">
        <v>2</v>
      </c>
      <c r="AY26" s="420">
        <v>1512947</v>
      </c>
      <c r="AZ26" s="423">
        <v>0.7</v>
      </c>
      <c r="BA26" s="420">
        <v>17804400</v>
      </c>
      <c r="BB26" s="906">
        <v>8.5</v>
      </c>
      <c r="BC26" s="744">
        <v>209499468</v>
      </c>
      <c r="BD26" s="745">
        <v>100</v>
      </c>
      <c r="BE26" s="659"/>
    </row>
    <row r="27" spans="1:57" s="38" customFormat="1" ht="15.75" customHeight="1" x14ac:dyDescent="0.2">
      <c r="A27" s="169" t="s">
        <v>173</v>
      </c>
      <c r="B27" s="145">
        <v>59914803</v>
      </c>
      <c r="C27" s="403">
        <v>36.5</v>
      </c>
      <c r="D27" s="397">
        <v>708812</v>
      </c>
      <c r="E27" s="403">
        <v>0.4</v>
      </c>
      <c r="F27" s="397">
        <v>34295</v>
      </c>
      <c r="G27" s="403">
        <v>0</v>
      </c>
      <c r="H27" s="397">
        <v>315814</v>
      </c>
      <c r="I27" s="403">
        <v>0.2</v>
      </c>
      <c r="J27" s="397">
        <v>189585</v>
      </c>
      <c r="K27" s="741">
        <v>0.1</v>
      </c>
      <c r="L27" s="145">
        <v>6636962</v>
      </c>
      <c r="M27" s="403">
        <v>4.0999999999999996</v>
      </c>
      <c r="N27" s="397">
        <v>17196</v>
      </c>
      <c r="O27" s="403">
        <v>0</v>
      </c>
      <c r="P27" s="401" t="s">
        <v>143</v>
      </c>
      <c r="Q27" s="403" t="s">
        <v>143</v>
      </c>
      <c r="R27" s="401">
        <v>189678</v>
      </c>
      <c r="S27" s="403">
        <v>0.1</v>
      </c>
      <c r="T27" s="106">
        <v>59226</v>
      </c>
      <c r="U27" s="142">
        <v>0</v>
      </c>
      <c r="V27" s="103">
        <v>732593</v>
      </c>
      <c r="W27" s="105">
        <v>0.5</v>
      </c>
      <c r="X27" s="104">
        <v>13350962</v>
      </c>
      <c r="Y27" s="105">
        <v>8.1</v>
      </c>
      <c r="Z27" s="104">
        <v>12294837</v>
      </c>
      <c r="AA27" s="104">
        <v>1056125</v>
      </c>
      <c r="AB27" s="106" t="s">
        <v>143</v>
      </c>
      <c r="AC27" s="106">
        <v>46504</v>
      </c>
      <c r="AD27" s="105">
        <v>0</v>
      </c>
      <c r="AE27" s="106">
        <v>1340805</v>
      </c>
      <c r="AF27" s="142">
        <v>0.8</v>
      </c>
      <c r="AG27" s="145">
        <v>3151190</v>
      </c>
      <c r="AH27" s="403">
        <v>1.9</v>
      </c>
      <c r="AI27" s="397">
        <v>992609</v>
      </c>
      <c r="AJ27" s="403">
        <v>0.6</v>
      </c>
      <c r="AK27" s="397">
        <v>28023895</v>
      </c>
      <c r="AL27" s="742">
        <v>17.100000000000001</v>
      </c>
      <c r="AM27" s="907">
        <v>2297606</v>
      </c>
      <c r="AN27" s="758">
        <v>1.4</v>
      </c>
      <c r="AO27" s="908">
        <v>8297951</v>
      </c>
      <c r="AP27" s="760">
        <v>5.0999999999999996</v>
      </c>
      <c r="AQ27" s="757">
        <v>439022</v>
      </c>
      <c r="AR27" s="760">
        <v>0.3</v>
      </c>
      <c r="AS27" s="907">
        <v>156251</v>
      </c>
      <c r="AT27" s="760">
        <v>0.1</v>
      </c>
      <c r="AU27" s="907">
        <v>5539860</v>
      </c>
      <c r="AV27" s="758">
        <v>3.4</v>
      </c>
      <c r="AW27" s="145">
        <v>1904236</v>
      </c>
      <c r="AX27" s="403">
        <v>1.2</v>
      </c>
      <c r="AY27" s="397">
        <v>6285845</v>
      </c>
      <c r="AZ27" s="403">
        <v>3.8</v>
      </c>
      <c r="BA27" s="397">
        <v>23486068</v>
      </c>
      <c r="BB27" s="904">
        <v>14.3</v>
      </c>
      <c r="BC27" s="740">
        <v>164111768</v>
      </c>
      <c r="BD27" s="741">
        <v>100</v>
      </c>
      <c r="BE27" s="659"/>
    </row>
    <row r="28" spans="1:57" s="38" customFormat="1" ht="15.75" customHeight="1" x14ac:dyDescent="0.2">
      <c r="A28" s="121" t="s">
        <v>174</v>
      </c>
      <c r="B28" s="135">
        <v>74846630</v>
      </c>
      <c r="C28" s="423">
        <v>43.8</v>
      </c>
      <c r="D28" s="420">
        <v>1373310</v>
      </c>
      <c r="E28" s="423">
        <v>0.8</v>
      </c>
      <c r="F28" s="420">
        <v>69541</v>
      </c>
      <c r="G28" s="423">
        <v>0</v>
      </c>
      <c r="H28" s="420">
        <v>315334</v>
      </c>
      <c r="I28" s="423">
        <v>0.2</v>
      </c>
      <c r="J28" s="420">
        <v>174889</v>
      </c>
      <c r="K28" s="745">
        <v>0.1</v>
      </c>
      <c r="L28" s="135">
        <v>8080769</v>
      </c>
      <c r="M28" s="423">
        <v>4.7</v>
      </c>
      <c r="N28" s="420">
        <v>69569</v>
      </c>
      <c r="O28" s="423">
        <v>0</v>
      </c>
      <c r="P28" s="421" t="s">
        <v>143</v>
      </c>
      <c r="Q28" s="423" t="s">
        <v>143</v>
      </c>
      <c r="R28" s="421">
        <v>188903</v>
      </c>
      <c r="S28" s="423">
        <v>0.1</v>
      </c>
      <c r="T28" s="125">
        <v>55381</v>
      </c>
      <c r="U28" s="132">
        <v>0</v>
      </c>
      <c r="V28" s="122">
        <v>1109313</v>
      </c>
      <c r="W28" s="124">
        <v>0.7</v>
      </c>
      <c r="X28" s="123">
        <v>16994557</v>
      </c>
      <c r="Y28" s="124">
        <v>10</v>
      </c>
      <c r="Z28" s="123">
        <v>15362363</v>
      </c>
      <c r="AA28" s="123">
        <v>1632194</v>
      </c>
      <c r="AB28" s="125" t="s">
        <v>143</v>
      </c>
      <c r="AC28" s="125">
        <v>57205</v>
      </c>
      <c r="AD28" s="124">
        <v>0</v>
      </c>
      <c r="AE28" s="125">
        <v>89235</v>
      </c>
      <c r="AF28" s="132">
        <v>0.1</v>
      </c>
      <c r="AG28" s="135">
        <v>2792328</v>
      </c>
      <c r="AH28" s="423">
        <v>1.6</v>
      </c>
      <c r="AI28" s="420">
        <v>355142</v>
      </c>
      <c r="AJ28" s="423">
        <v>0.2</v>
      </c>
      <c r="AK28" s="420">
        <v>22322843</v>
      </c>
      <c r="AL28" s="746">
        <v>13.1</v>
      </c>
      <c r="AM28" s="905" t="s">
        <v>143</v>
      </c>
      <c r="AN28" s="753" t="s">
        <v>143</v>
      </c>
      <c r="AO28" s="752">
        <v>11484652</v>
      </c>
      <c r="AP28" s="756">
        <v>6.7</v>
      </c>
      <c r="AQ28" s="927">
        <v>800116</v>
      </c>
      <c r="AR28" s="756">
        <v>0.5</v>
      </c>
      <c r="AS28" s="905">
        <v>674921</v>
      </c>
      <c r="AT28" s="756">
        <v>0.4</v>
      </c>
      <c r="AU28" s="905">
        <v>2938161</v>
      </c>
      <c r="AV28" s="753">
        <v>1.7</v>
      </c>
      <c r="AW28" s="135">
        <v>3642882</v>
      </c>
      <c r="AX28" s="423">
        <v>2.1</v>
      </c>
      <c r="AY28" s="420">
        <v>3342354</v>
      </c>
      <c r="AZ28" s="423">
        <v>2</v>
      </c>
      <c r="BA28" s="420">
        <v>19134379</v>
      </c>
      <c r="BB28" s="906">
        <v>11.2</v>
      </c>
      <c r="BC28" s="744">
        <v>170912414</v>
      </c>
      <c r="BD28" s="745">
        <v>100</v>
      </c>
      <c r="BE28" s="659"/>
    </row>
    <row r="29" spans="1:57" s="38" customFormat="1" ht="15.75" customHeight="1" x14ac:dyDescent="0.2">
      <c r="A29" s="169" t="s">
        <v>175</v>
      </c>
      <c r="B29" s="145">
        <v>83641768</v>
      </c>
      <c r="C29" s="403">
        <v>46.3</v>
      </c>
      <c r="D29" s="397">
        <v>1225408</v>
      </c>
      <c r="E29" s="403">
        <v>0.7</v>
      </c>
      <c r="F29" s="397">
        <v>60093</v>
      </c>
      <c r="G29" s="403">
        <v>0</v>
      </c>
      <c r="H29" s="397">
        <v>289775</v>
      </c>
      <c r="I29" s="403">
        <v>0.2</v>
      </c>
      <c r="J29" s="397">
        <v>175636</v>
      </c>
      <c r="K29" s="741">
        <v>0.1</v>
      </c>
      <c r="L29" s="145">
        <v>9093696</v>
      </c>
      <c r="M29" s="403">
        <v>5</v>
      </c>
      <c r="N29" s="397">
        <v>51427</v>
      </c>
      <c r="O29" s="403">
        <v>0</v>
      </c>
      <c r="P29" s="401" t="s">
        <v>143</v>
      </c>
      <c r="Q29" s="403" t="s">
        <v>143</v>
      </c>
      <c r="R29" s="401">
        <v>223313</v>
      </c>
      <c r="S29" s="403">
        <v>0.1</v>
      </c>
      <c r="T29" s="106">
        <v>70071</v>
      </c>
      <c r="U29" s="142">
        <v>0</v>
      </c>
      <c r="V29" s="103">
        <v>1051303</v>
      </c>
      <c r="W29" s="105">
        <v>0.6</v>
      </c>
      <c r="X29" s="104">
        <v>9679205</v>
      </c>
      <c r="Y29" s="105">
        <v>5.4</v>
      </c>
      <c r="Z29" s="104">
        <v>8329304</v>
      </c>
      <c r="AA29" s="104">
        <v>1349499</v>
      </c>
      <c r="AB29" s="106">
        <v>402</v>
      </c>
      <c r="AC29" s="106">
        <v>63458</v>
      </c>
      <c r="AD29" s="105">
        <v>0</v>
      </c>
      <c r="AE29" s="106">
        <v>847651</v>
      </c>
      <c r="AF29" s="142">
        <v>0.5</v>
      </c>
      <c r="AG29" s="145">
        <v>1656557</v>
      </c>
      <c r="AH29" s="403">
        <v>0.9</v>
      </c>
      <c r="AI29" s="397">
        <v>1812538</v>
      </c>
      <c r="AJ29" s="403">
        <v>1</v>
      </c>
      <c r="AK29" s="397">
        <v>31595014</v>
      </c>
      <c r="AL29" s="742">
        <v>17.5</v>
      </c>
      <c r="AM29" s="907">
        <v>14003</v>
      </c>
      <c r="AN29" s="758">
        <v>0</v>
      </c>
      <c r="AO29" s="908">
        <v>12034980</v>
      </c>
      <c r="AP29" s="760">
        <v>6.7</v>
      </c>
      <c r="AQ29" s="757">
        <v>340964</v>
      </c>
      <c r="AR29" s="760">
        <v>0.2</v>
      </c>
      <c r="AS29" s="907">
        <v>246945</v>
      </c>
      <c r="AT29" s="760">
        <v>0.1</v>
      </c>
      <c r="AU29" s="907">
        <v>2264892</v>
      </c>
      <c r="AV29" s="758">
        <v>1.3</v>
      </c>
      <c r="AW29" s="145">
        <v>2767926</v>
      </c>
      <c r="AX29" s="403">
        <v>1.5</v>
      </c>
      <c r="AY29" s="397">
        <v>1942107</v>
      </c>
      <c r="AZ29" s="403">
        <v>1.1000000000000001</v>
      </c>
      <c r="BA29" s="397">
        <v>19406200</v>
      </c>
      <c r="BB29" s="904">
        <v>10.8</v>
      </c>
      <c r="BC29" s="740">
        <v>180554930</v>
      </c>
      <c r="BD29" s="741">
        <v>100</v>
      </c>
      <c r="BE29" s="659"/>
    </row>
    <row r="30" spans="1:57" s="38" customFormat="1" ht="15.75" customHeight="1" x14ac:dyDescent="0.2">
      <c r="A30" s="121" t="s">
        <v>251</v>
      </c>
      <c r="B30" s="135">
        <v>45284461</v>
      </c>
      <c r="C30" s="423">
        <v>43.9</v>
      </c>
      <c r="D30" s="420">
        <v>930261</v>
      </c>
      <c r="E30" s="423">
        <v>0.9</v>
      </c>
      <c r="F30" s="420">
        <v>37472</v>
      </c>
      <c r="G30" s="423">
        <v>0</v>
      </c>
      <c r="H30" s="420">
        <v>205185</v>
      </c>
      <c r="I30" s="423">
        <v>0.2</v>
      </c>
      <c r="J30" s="420">
        <v>114529</v>
      </c>
      <c r="K30" s="745">
        <v>0.1</v>
      </c>
      <c r="L30" s="135">
        <v>5006018</v>
      </c>
      <c r="M30" s="423">
        <v>4.9000000000000004</v>
      </c>
      <c r="N30" s="420">
        <v>31955</v>
      </c>
      <c r="O30" s="423">
        <v>0</v>
      </c>
      <c r="P30" s="421">
        <v>0</v>
      </c>
      <c r="Q30" s="423">
        <v>0</v>
      </c>
      <c r="R30" s="421">
        <v>140717</v>
      </c>
      <c r="S30" s="423">
        <v>0.1</v>
      </c>
      <c r="T30" s="163">
        <v>45746</v>
      </c>
      <c r="U30" s="132">
        <v>0</v>
      </c>
      <c r="V30" s="122">
        <v>664374</v>
      </c>
      <c r="W30" s="124">
        <v>0.7</v>
      </c>
      <c r="X30" s="123">
        <v>10429753</v>
      </c>
      <c r="Y30" s="124">
        <v>10.1</v>
      </c>
      <c r="Z30" s="123">
        <v>8725754</v>
      </c>
      <c r="AA30" s="123">
        <v>1703999</v>
      </c>
      <c r="AB30" s="421">
        <v>0</v>
      </c>
      <c r="AC30" s="125">
        <v>36464</v>
      </c>
      <c r="AD30" s="124">
        <v>0</v>
      </c>
      <c r="AE30" s="125">
        <v>196404</v>
      </c>
      <c r="AF30" s="132">
        <v>0.2</v>
      </c>
      <c r="AG30" s="135">
        <v>1098926</v>
      </c>
      <c r="AH30" s="423">
        <v>1.1000000000000001</v>
      </c>
      <c r="AI30" s="420">
        <v>372714</v>
      </c>
      <c r="AJ30" s="423">
        <v>0.4</v>
      </c>
      <c r="AK30" s="420">
        <v>15417206</v>
      </c>
      <c r="AL30" s="746">
        <v>15</v>
      </c>
      <c r="AM30" s="905">
        <v>0</v>
      </c>
      <c r="AN30" s="753">
        <v>0</v>
      </c>
      <c r="AO30" s="752">
        <v>8913506</v>
      </c>
      <c r="AP30" s="756">
        <v>8.6999999999999993</v>
      </c>
      <c r="AQ30" s="927">
        <v>119833</v>
      </c>
      <c r="AR30" s="756">
        <v>0.1</v>
      </c>
      <c r="AS30" s="905">
        <v>342926</v>
      </c>
      <c r="AT30" s="756">
        <v>0.3</v>
      </c>
      <c r="AU30" s="905">
        <v>47274</v>
      </c>
      <c r="AV30" s="753">
        <v>0.1</v>
      </c>
      <c r="AW30" s="135">
        <v>2076485</v>
      </c>
      <c r="AX30" s="423">
        <v>2</v>
      </c>
      <c r="AY30" s="420">
        <v>3426252</v>
      </c>
      <c r="AZ30" s="423">
        <v>3.3</v>
      </c>
      <c r="BA30" s="420">
        <v>8142853</v>
      </c>
      <c r="BB30" s="906">
        <v>7.9</v>
      </c>
      <c r="BC30" s="744">
        <v>103081314</v>
      </c>
      <c r="BD30" s="745">
        <v>100</v>
      </c>
      <c r="BE30" s="659"/>
    </row>
    <row r="31" spans="1:57" s="38" customFormat="1" ht="15.75" customHeight="1" x14ac:dyDescent="0.2">
      <c r="A31" s="169" t="s">
        <v>178</v>
      </c>
      <c r="B31" s="183">
        <v>29242667</v>
      </c>
      <c r="C31" s="403">
        <v>38.299999999999997</v>
      </c>
      <c r="D31" s="397">
        <v>420209</v>
      </c>
      <c r="E31" s="403">
        <v>0.6</v>
      </c>
      <c r="F31" s="397">
        <v>22039</v>
      </c>
      <c r="G31" s="403">
        <v>0</v>
      </c>
      <c r="H31" s="397">
        <v>104353</v>
      </c>
      <c r="I31" s="403">
        <v>0.1</v>
      </c>
      <c r="J31" s="397">
        <v>67727</v>
      </c>
      <c r="K31" s="741">
        <v>0.1</v>
      </c>
      <c r="L31" s="145">
        <v>3788787</v>
      </c>
      <c r="M31" s="403">
        <v>5</v>
      </c>
      <c r="N31" s="397" t="s">
        <v>143</v>
      </c>
      <c r="O31" s="403" t="s">
        <v>143</v>
      </c>
      <c r="P31" s="397" t="s">
        <v>143</v>
      </c>
      <c r="Q31" s="397" t="s">
        <v>143</v>
      </c>
      <c r="R31" s="397">
        <v>79767</v>
      </c>
      <c r="S31" s="403">
        <v>0.1</v>
      </c>
      <c r="T31" s="106">
        <v>16790</v>
      </c>
      <c r="U31" s="142">
        <v>0</v>
      </c>
      <c r="V31" s="103">
        <v>331822</v>
      </c>
      <c r="W31" s="105">
        <v>0.4</v>
      </c>
      <c r="X31" s="104">
        <v>8682670</v>
      </c>
      <c r="Y31" s="105">
        <v>11.4</v>
      </c>
      <c r="Z31" s="104">
        <v>7997473</v>
      </c>
      <c r="AA31" s="104">
        <v>685158</v>
      </c>
      <c r="AB31" s="397">
        <v>39</v>
      </c>
      <c r="AC31" s="106">
        <v>40819</v>
      </c>
      <c r="AD31" s="105">
        <v>0.1</v>
      </c>
      <c r="AE31" s="106">
        <v>526456</v>
      </c>
      <c r="AF31" s="142">
        <v>0.7</v>
      </c>
      <c r="AG31" s="145">
        <v>803385</v>
      </c>
      <c r="AH31" s="403">
        <v>1.1000000000000001</v>
      </c>
      <c r="AI31" s="397">
        <v>161252</v>
      </c>
      <c r="AJ31" s="403">
        <v>0.2</v>
      </c>
      <c r="AK31" s="397">
        <v>14067759</v>
      </c>
      <c r="AL31" s="742">
        <v>18.5</v>
      </c>
      <c r="AM31" s="907" t="s">
        <v>143</v>
      </c>
      <c r="AN31" s="758" t="s">
        <v>143</v>
      </c>
      <c r="AO31" s="908">
        <v>6210275</v>
      </c>
      <c r="AP31" s="760">
        <v>8.1</v>
      </c>
      <c r="AQ31" s="757">
        <v>85603</v>
      </c>
      <c r="AR31" s="760">
        <v>0.1</v>
      </c>
      <c r="AS31" s="907">
        <v>180119</v>
      </c>
      <c r="AT31" s="760">
        <v>0.2</v>
      </c>
      <c r="AU31" s="907">
        <v>803520</v>
      </c>
      <c r="AV31" s="758">
        <v>1.1000000000000001</v>
      </c>
      <c r="AW31" s="145">
        <v>622137</v>
      </c>
      <c r="AX31" s="403">
        <v>0.8</v>
      </c>
      <c r="AY31" s="397">
        <v>2980182</v>
      </c>
      <c r="AZ31" s="403">
        <v>3.9</v>
      </c>
      <c r="BA31" s="397">
        <v>7040073</v>
      </c>
      <c r="BB31" s="904">
        <v>9.1999999999999993</v>
      </c>
      <c r="BC31" s="740">
        <v>76278411</v>
      </c>
      <c r="BD31" s="741">
        <v>100</v>
      </c>
      <c r="BE31" s="659"/>
    </row>
    <row r="32" spans="1:57" s="38" customFormat="1" ht="15.75" customHeight="1" x14ac:dyDescent="0.2">
      <c r="A32" s="121" t="s">
        <v>179</v>
      </c>
      <c r="B32" s="135">
        <v>58631007</v>
      </c>
      <c r="C32" s="423">
        <v>35.4</v>
      </c>
      <c r="D32" s="420">
        <v>1334808</v>
      </c>
      <c r="E32" s="423">
        <v>0.8</v>
      </c>
      <c r="F32" s="420">
        <v>49085</v>
      </c>
      <c r="G32" s="423">
        <v>0</v>
      </c>
      <c r="H32" s="420">
        <v>215917</v>
      </c>
      <c r="I32" s="423">
        <v>0.1</v>
      </c>
      <c r="J32" s="420">
        <v>123989</v>
      </c>
      <c r="K32" s="745">
        <v>0.1</v>
      </c>
      <c r="L32" s="135">
        <v>7275660</v>
      </c>
      <c r="M32" s="423">
        <v>4.4000000000000004</v>
      </c>
      <c r="N32" s="420">
        <v>48290</v>
      </c>
      <c r="O32" s="423">
        <v>0</v>
      </c>
      <c r="P32" s="421">
        <v>0</v>
      </c>
      <c r="Q32" s="423">
        <v>0</v>
      </c>
      <c r="R32" s="421">
        <v>182004</v>
      </c>
      <c r="S32" s="423">
        <v>0.1</v>
      </c>
      <c r="T32" s="125">
        <v>44188</v>
      </c>
      <c r="U32" s="132">
        <v>0</v>
      </c>
      <c r="V32" s="122">
        <v>843787</v>
      </c>
      <c r="W32" s="124">
        <v>0.5</v>
      </c>
      <c r="X32" s="123">
        <v>23520951</v>
      </c>
      <c r="Y32" s="124">
        <v>14.2</v>
      </c>
      <c r="Z32" s="123">
        <v>18692325</v>
      </c>
      <c r="AA32" s="123">
        <v>4828626</v>
      </c>
      <c r="AB32" s="125">
        <v>0</v>
      </c>
      <c r="AC32" s="125">
        <v>62644</v>
      </c>
      <c r="AD32" s="124">
        <v>0.1</v>
      </c>
      <c r="AE32" s="125">
        <v>1599628</v>
      </c>
      <c r="AF32" s="132">
        <v>1</v>
      </c>
      <c r="AG32" s="135">
        <v>1518683</v>
      </c>
      <c r="AH32" s="423">
        <v>0.9</v>
      </c>
      <c r="AI32" s="420">
        <v>847865</v>
      </c>
      <c r="AJ32" s="423">
        <v>0.5</v>
      </c>
      <c r="AK32" s="420">
        <v>25378173</v>
      </c>
      <c r="AL32" s="746">
        <v>15.3</v>
      </c>
      <c r="AM32" s="909">
        <v>264711</v>
      </c>
      <c r="AN32" s="929">
        <v>0.2</v>
      </c>
      <c r="AO32" s="752">
        <v>9574411</v>
      </c>
      <c r="AP32" s="756">
        <v>5.8</v>
      </c>
      <c r="AQ32" s="927">
        <v>624736</v>
      </c>
      <c r="AR32" s="756">
        <v>0.4</v>
      </c>
      <c r="AS32" s="905">
        <v>1162111</v>
      </c>
      <c r="AT32" s="756">
        <v>0.7</v>
      </c>
      <c r="AU32" s="905">
        <v>3529189</v>
      </c>
      <c r="AV32" s="753">
        <v>2.1</v>
      </c>
      <c r="AW32" s="135">
        <v>3702648</v>
      </c>
      <c r="AX32" s="423">
        <v>2.2000000000000002</v>
      </c>
      <c r="AY32" s="420">
        <v>7993946</v>
      </c>
      <c r="AZ32" s="423">
        <v>4.8</v>
      </c>
      <c r="BA32" s="420">
        <v>17476900</v>
      </c>
      <c r="BB32" s="906">
        <v>10.6</v>
      </c>
      <c r="BC32" s="744">
        <v>165740620</v>
      </c>
      <c r="BD32" s="745">
        <v>100</v>
      </c>
      <c r="BE32" s="659"/>
    </row>
    <row r="33" spans="1:57" s="38" customFormat="1" ht="15.75" customHeight="1" x14ac:dyDescent="0.2">
      <c r="A33" s="169" t="s">
        <v>252</v>
      </c>
      <c r="B33" s="183">
        <v>37323830</v>
      </c>
      <c r="C33" s="178">
        <v>39</v>
      </c>
      <c r="D33" s="456">
        <v>875782</v>
      </c>
      <c r="E33" s="178">
        <v>0.9</v>
      </c>
      <c r="F33" s="456">
        <v>32934</v>
      </c>
      <c r="G33" s="178">
        <v>0</v>
      </c>
      <c r="H33" s="456">
        <v>144853</v>
      </c>
      <c r="I33" s="178">
        <v>0.2</v>
      </c>
      <c r="J33" s="456">
        <v>83160</v>
      </c>
      <c r="K33" s="749">
        <v>0.1</v>
      </c>
      <c r="L33" s="183">
        <v>4711236</v>
      </c>
      <c r="M33" s="178">
        <v>4.9000000000000004</v>
      </c>
      <c r="N33" s="456">
        <v>29854</v>
      </c>
      <c r="O33" s="178">
        <v>0</v>
      </c>
      <c r="P33" s="457" t="s">
        <v>143</v>
      </c>
      <c r="Q33" s="178" t="s">
        <v>143</v>
      </c>
      <c r="R33" s="1029">
        <v>119050</v>
      </c>
      <c r="S33" s="1130">
        <v>0.1</v>
      </c>
      <c r="T33" s="1023">
        <v>28903</v>
      </c>
      <c r="U33" s="142">
        <v>0</v>
      </c>
      <c r="V33" s="1132">
        <v>868952</v>
      </c>
      <c r="W33" s="1047">
        <v>0.9</v>
      </c>
      <c r="X33" s="1023">
        <v>13712685</v>
      </c>
      <c r="Y33" s="1016">
        <v>14.4</v>
      </c>
      <c r="Z33" s="1283">
        <v>12438554</v>
      </c>
      <c r="AA33" s="1016">
        <v>1274131</v>
      </c>
      <c r="AB33" s="1023">
        <v>0</v>
      </c>
      <c r="AC33" s="1283">
        <v>46188</v>
      </c>
      <c r="AD33" s="1054">
        <v>0.1</v>
      </c>
      <c r="AE33" s="1023">
        <v>281019</v>
      </c>
      <c r="AF33" s="142">
        <v>0.3</v>
      </c>
      <c r="AG33" s="1132">
        <v>2114446</v>
      </c>
      <c r="AH33" s="1047">
        <v>2.2000000000000002</v>
      </c>
      <c r="AI33" s="1028">
        <v>216908</v>
      </c>
      <c r="AJ33" s="1130">
        <v>0.2</v>
      </c>
      <c r="AK33" s="1028">
        <v>11919114</v>
      </c>
      <c r="AL33" s="1130">
        <v>12.5</v>
      </c>
      <c r="AM33" s="1028">
        <v>35087</v>
      </c>
      <c r="AN33" s="1127">
        <v>0</v>
      </c>
      <c r="AO33" s="1285">
        <v>5390740</v>
      </c>
      <c r="AP33" s="1340">
        <v>5.6</v>
      </c>
      <c r="AQ33" s="1284">
        <v>440193</v>
      </c>
      <c r="AR33" s="1286">
        <v>0.5</v>
      </c>
      <c r="AS33" s="1287">
        <v>32957</v>
      </c>
      <c r="AT33" s="1286">
        <v>0</v>
      </c>
      <c r="AU33" s="1284">
        <v>4551747</v>
      </c>
      <c r="AV33" s="758">
        <v>4.8</v>
      </c>
      <c r="AW33" s="1285">
        <v>2404745</v>
      </c>
      <c r="AX33" s="1340">
        <v>2.5</v>
      </c>
      <c r="AY33" s="1028">
        <v>2649628</v>
      </c>
      <c r="AZ33" s="1130">
        <v>2.8</v>
      </c>
      <c r="BA33" s="1028">
        <v>7631100</v>
      </c>
      <c r="BB33" s="1288">
        <v>8</v>
      </c>
      <c r="BC33" s="1028">
        <v>95645111</v>
      </c>
      <c r="BD33" s="1127">
        <v>100</v>
      </c>
      <c r="BE33" s="659"/>
    </row>
    <row r="34" spans="1:57" s="38" customFormat="1" ht="15.75" customHeight="1" x14ac:dyDescent="0.2">
      <c r="A34" s="121" t="s">
        <v>181</v>
      </c>
      <c r="B34" s="193">
        <v>67152137</v>
      </c>
      <c r="C34" s="161">
        <v>39.5</v>
      </c>
      <c r="D34" s="438">
        <v>1095112</v>
      </c>
      <c r="E34" s="161">
        <v>0.6</v>
      </c>
      <c r="F34" s="438">
        <v>72079</v>
      </c>
      <c r="G34" s="161">
        <v>0</v>
      </c>
      <c r="H34" s="438">
        <v>287312</v>
      </c>
      <c r="I34" s="161">
        <v>0.2</v>
      </c>
      <c r="J34" s="438">
        <v>153265</v>
      </c>
      <c r="K34" s="747">
        <v>0.1</v>
      </c>
      <c r="L34" s="193">
        <v>7563858</v>
      </c>
      <c r="M34" s="161">
        <v>4.5</v>
      </c>
      <c r="N34" s="438">
        <v>20685</v>
      </c>
      <c r="O34" s="161">
        <v>0</v>
      </c>
      <c r="P34" s="467" t="s">
        <v>143</v>
      </c>
      <c r="Q34" s="161" t="s">
        <v>143</v>
      </c>
      <c r="R34" s="467">
        <v>181871</v>
      </c>
      <c r="S34" s="161">
        <v>0.1</v>
      </c>
      <c r="T34" s="163">
        <v>53933</v>
      </c>
      <c r="U34" s="164">
        <v>0</v>
      </c>
      <c r="V34" s="186">
        <v>914108</v>
      </c>
      <c r="W34" s="162">
        <v>0.5</v>
      </c>
      <c r="X34" s="187">
        <v>7646650</v>
      </c>
      <c r="Y34" s="162">
        <v>4.5</v>
      </c>
      <c r="Z34" s="187">
        <v>6831745</v>
      </c>
      <c r="AA34" s="187">
        <v>814905</v>
      </c>
      <c r="AB34" s="163" t="s">
        <v>143</v>
      </c>
      <c r="AC34" s="163">
        <v>54998</v>
      </c>
      <c r="AD34" s="162">
        <v>0</v>
      </c>
      <c r="AE34" s="163">
        <v>2691137</v>
      </c>
      <c r="AF34" s="164">
        <v>1.6</v>
      </c>
      <c r="AG34" s="193">
        <v>2894350</v>
      </c>
      <c r="AH34" s="161">
        <v>1.7</v>
      </c>
      <c r="AI34" s="438">
        <v>604604</v>
      </c>
      <c r="AJ34" s="161">
        <v>0.4</v>
      </c>
      <c r="AK34" s="438">
        <v>25949820</v>
      </c>
      <c r="AL34" s="221">
        <v>15.3</v>
      </c>
      <c r="AM34" s="909">
        <v>10928</v>
      </c>
      <c r="AN34" s="929">
        <v>0</v>
      </c>
      <c r="AO34" s="912">
        <v>10175782</v>
      </c>
      <c r="AP34" s="913">
        <v>6</v>
      </c>
      <c r="AQ34" s="925">
        <v>232400</v>
      </c>
      <c r="AR34" s="913">
        <v>0.1</v>
      </c>
      <c r="AS34" s="909">
        <v>191398</v>
      </c>
      <c r="AT34" s="913">
        <v>0.1</v>
      </c>
      <c r="AU34" s="909">
        <v>6566274</v>
      </c>
      <c r="AV34" s="929">
        <v>3.9</v>
      </c>
      <c r="AW34" s="193">
        <v>6697293</v>
      </c>
      <c r="AX34" s="161">
        <v>4.0999999999999996</v>
      </c>
      <c r="AY34" s="438">
        <v>13642412</v>
      </c>
      <c r="AZ34" s="161">
        <v>8</v>
      </c>
      <c r="BA34" s="438">
        <v>14921700</v>
      </c>
      <c r="BB34" s="930">
        <v>8.8000000000000007</v>
      </c>
      <c r="BC34" s="524">
        <v>170074106</v>
      </c>
      <c r="BD34" s="745">
        <v>100</v>
      </c>
      <c r="BE34" s="659"/>
    </row>
    <row r="35" spans="1:57" s="38" customFormat="1" ht="15.75" customHeight="1" x14ac:dyDescent="0.2">
      <c r="A35" s="169" t="s">
        <v>182</v>
      </c>
      <c r="B35" s="183">
        <v>66310242</v>
      </c>
      <c r="C35" s="178">
        <v>50.1</v>
      </c>
      <c r="D35" s="456">
        <v>1364949</v>
      </c>
      <c r="E35" s="178">
        <v>1</v>
      </c>
      <c r="F35" s="456">
        <v>53577</v>
      </c>
      <c r="G35" s="178">
        <v>0</v>
      </c>
      <c r="H35" s="456">
        <v>372534</v>
      </c>
      <c r="I35" s="178">
        <v>0.3</v>
      </c>
      <c r="J35" s="456">
        <v>192372</v>
      </c>
      <c r="K35" s="749">
        <v>0.1</v>
      </c>
      <c r="L35" s="183">
        <v>6681928</v>
      </c>
      <c r="M35" s="178">
        <v>5.0999999999999996</v>
      </c>
      <c r="N35" s="456" t="s">
        <v>143</v>
      </c>
      <c r="O35" s="178" t="s">
        <v>143</v>
      </c>
      <c r="P35" s="457" t="s">
        <v>143</v>
      </c>
      <c r="Q35" s="178" t="s">
        <v>143</v>
      </c>
      <c r="R35" s="457">
        <v>365802</v>
      </c>
      <c r="S35" s="178">
        <v>0.3</v>
      </c>
      <c r="T35" s="138">
        <v>112830</v>
      </c>
      <c r="U35" s="180">
        <v>0.1</v>
      </c>
      <c r="V35" s="139">
        <v>880043</v>
      </c>
      <c r="W35" s="171">
        <v>0.7</v>
      </c>
      <c r="X35" s="170">
        <v>467323</v>
      </c>
      <c r="Y35" s="171">
        <v>0.4</v>
      </c>
      <c r="Z35" s="170" t="s">
        <v>143</v>
      </c>
      <c r="AA35" s="170">
        <v>467237</v>
      </c>
      <c r="AB35" s="138">
        <v>86</v>
      </c>
      <c r="AC35" s="138">
        <v>67990</v>
      </c>
      <c r="AD35" s="171">
        <v>0</v>
      </c>
      <c r="AE35" s="138">
        <v>784695</v>
      </c>
      <c r="AF35" s="180">
        <v>0.6</v>
      </c>
      <c r="AG35" s="183">
        <v>1990726</v>
      </c>
      <c r="AH35" s="178">
        <v>1.5</v>
      </c>
      <c r="AI35" s="456">
        <v>981778</v>
      </c>
      <c r="AJ35" s="178">
        <v>0.7</v>
      </c>
      <c r="AK35" s="456">
        <v>20791429</v>
      </c>
      <c r="AL35" s="220">
        <v>15.7</v>
      </c>
      <c r="AM35" s="916">
        <v>4014</v>
      </c>
      <c r="AN35" s="919">
        <v>0</v>
      </c>
      <c r="AO35" s="920">
        <v>9800553</v>
      </c>
      <c r="AP35" s="921">
        <v>7.4</v>
      </c>
      <c r="AQ35" s="922">
        <v>344953</v>
      </c>
      <c r="AR35" s="921">
        <v>0.3</v>
      </c>
      <c r="AS35" s="916">
        <v>70471</v>
      </c>
      <c r="AT35" s="921">
        <v>0.1</v>
      </c>
      <c r="AU35" s="916">
        <v>2205302</v>
      </c>
      <c r="AV35" s="919">
        <v>1.7</v>
      </c>
      <c r="AW35" s="183">
        <v>1788327</v>
      </c>
      <c r="AX35" s="178">
        <v>1.3</v>
      </c>
      <c r="AY35" s="456">
        <v>5692250</v>
      </c>
      <c r="AZ35" s="178">
        <v>4.3</v>
      </c>
      <c r="BA35" s="456">
        <v>10922090</v>
      </c>
      <c r="BB35" s="931">
        <v>8.3000000000000007</v>
      </c>
      <c r="BC35" s="748">
        <v>132246178</v>
      </c>
      <c r="BD35" s="741">
        <v>100</v>
      </c>
      <c r="BE35" s="659"/>
    </row>
    <row r="36" spans="1:57" s="38" customFormat="1" ht="15.75" customHeight="1" x14ac:dyDescent="0.2">
      <c r="A36" s="121" t="s">
        <v>183</v>
      </c>
      <c r="B36" s="193">
        <v>71297749</v>
      </c>
      <c r="C36" s="161">
        <v>51.7</v>
      </c>
      <c r="D36" s="438">
        <v>937524</v>
      </c>
      <c r="E36" s="161">
        <v>0.7</v>
      </c>
      <c r="F36" s="438">
        <v>62446</v>
      </c>
      <c r="G36" s="161">
        <v>0</v>
      </c>
      <c r="H36" s="438">
        <v>434098</v>
      </c>
      <c r="I36" s="161">
        <v>0.3</v>
      </c>
      <c r="J36" s="438">
        <v>224016</v>
      </c>
      <c r="K36" s="747">
        <v>0.2</v>
      </c>
      <c r="L36" s="193">
        <v>6693381</v>
      </c>
      <c r="M36" s="161">
        <v>4.8</v>
      </c>
      <c r="N36" s="438">
        <v>86807</v>
      </c>
      <c r="O36" s="161">
        <v>0.1</v>
      </c>
      <c r="P36" s="467" t="s">
        <v>143</v>
      </c>
      <c r="Q36" s="161" t="s">
        <v>143</v>
      </c>
      <c r="R36" s="467">
        <v>272364</v>
      </c>
      <c r="S36" s="161">
        <v>0.2</v>
      </c>
      <c r="T36" s="163">
        <v>84010</v>
      </c>
      <c r="U36" s="164">
        <v>0.1</v>
      </c>
      <c r="V36" s="186">
        <v>1404474</v>
      </c>
      <c r="W36" s="162">
        <v>1</v>
      </c>
      <c r="X36" s="187">
        <v>368785</v>
      </c>
      <c r="Y36" s="162">
        <v>0.3</v>
      </c>
      <c r="Z36" s="187">
        <v>224732</v>
      </c>
      <c r="AA36" s="187">
        <v>144053</v>
      </c>
      <c r="AB36" s="163" t="s">
        <v>143</v>
      </c>
      <c r="AC36" s="163">
        <v>58056</v>
      </c>
      <c r="AD36" s="162">
        <v>0</v>
      </c>
      <c r="AE36" s="163">
        <v>1730527</v>
      </c>
      <c r="AF36" s="164">
        <v>1.2</v>
      </c>
      <c r="AG36" s="193">
        <v>2036618</v>
      </c>
      <c r="AH36" s="161">
        <v>1.5</v>
      </c>
      <c r="AI36" s="438">
        <v>640488</v>
      </c>
      <c r="AJ36" s="161">
        <v>0.5</v>
      </c>
      <c r="AK36" s="438">
        <v>18182838</v>
      </c>
      <c r="AL36" s="221">
        <v>13.2</v>
      </c>
      <c r="AM36" s="909" t="s">
        <v>143</v>
      </c>
      <c r="AN36" s="929" t="s">
        <v>143</v>
      </c>
      <c r="AO36" s="912">
        <v>7550470</v>
      </c>
      <c r="AP36" s="913">
        <v>5.5</v>
      </c>
      <c r="AQ36" s="925">
        <v>822808</v>
      </c>
      <c r="AR36" s="913">
        <v>0.6</v>
      </c>
      <c r="AS36" s="909">
        <v>177831</v>
      </c>
      <c r="AT36" s="913">
        <v>0.1</v>
      </c>
      <c r="AU36" s="909">
        <v>9199139</v>
      </c>
      <c r="AV36" s="929">
        <v>6.7</v>
      </c>
      <c r="AW36" s="193">
        <v>2740463</v>
      </c>
      <c r="AX36" s="161">
        <v>2</v>
      </c>
      <c r="AY36" s="438">
        <v>4646057</v>
      </c>
      <c r="AZ36" s="161">
        <v>3.4</v>
      </c>
      <c r="BA36" s="438">
        <v>8108400</v>
      </c>
      <c r="BB36" s="930">
        <v>5.9</v>
      </c>
      <c r="BC36" s="524">
        <v>137759349</v>
      </c>
      <c r="BD36" s="745">
        <v>100</v>
      </c>
      <c r="BE36" s="659"/>
    </row>
    <row r="37" spans="1:57" s="38" customFormat="1" ht="15.75" customHeight="1" x14ac:dyDescent="0.2">
      <c r="A37" s="169" t="s">
        <v>184</v>
      </c>
      <c r="B37" s="183">
        <v>51226917</v>
      </c>
      <c r="C37" s="178">
        <v>43.4</v>
      </c>
      <c r="D37" s="456">
        <v>968562</v>
      </c>
      <c r="E37" s="178">
        <v>0.8</v>
      </c>
      <c r="F37" s="456">
        <v>49227</v>
      </c>
      <c r="G37" s="178">
        <v>0</v>
      </c>
      <c r="H37" s="456">
        <v>342268</v>
      </c>
      <c r="I37" s="178">
        <v>0.3</v>
      </c>
      <c r="J37" s="456">
        <v>176712</v>
      </c>
      <c r="K37" s="749">
        <v>0.2</v>
      </c>
      <c r="L37" s="183">
        <v>6482264</v>
      </c>
      <c r="M37" s="178">
        <v>5.5</v>
      </c>
      <c r="N37" s="456" t="s">
        <v>143</v>
      </c>
      <c r="O37" s="178" t="s">
        <v>143</v>
      </c>
      <c r="P37" s="457" t="s">
        <v>143</v>
      </c>
      <c r="Q37" s="178" t="s">
        <v>143</v>
      </c>
      <c r="R37" s="457">
        <v>287350</v>
      </c>
      <c r="S37" s="178">
        <v>0.2</v>
      </c>
      <c r="T37" s="138">
        <v>88632</v>
      </c>
      <c r="U37" s="180">
        <v>0.1</v>
      </c>
      <c r="V37" s="139">
        <v>1430109</v>
      </c>
      <c r="W37" s="171">
        <v>1.2</v>
      </c>
      <c r="X37" s="170">
        <v>10151084</v>
      </c>
      <c r="Y37" s="171">
        <v>8.6</v>
      </c>
      <c r="Z37" s="170">
        <v>9824511</v>
      </c>
      <c r="AA37" s="170">
        <v>326573</v>
      </c>
      <c r="AB37" s="138" t="s">
        <v>143</v>
      </c>
      <c r="AC37" s="138">
        <v>63995</v>
      </c>
      <c r="AD37" s="171">
        <v>0.1</v>
      </c>
      <c r="AE37" s="138">
        <v>364220</v>
      </c>
      <c r="AF37" s="180">
        <v>0.3</v>
      </c>
      <c r="AG37" s="183">
        <v>1788910</v>
      </c>
      <c r="AH37" s="178">
        <v>1.5</v>
      </c>
      <c r="AI37" s="456">
        <v>880410</v>
      </c>
      <c r="AJ37" s="178">
        <v>0.8</v>
      </c>
      <c r="AK37" s="456">
        <v>17434564</v>
      </c>
      <c r="AL37" s="220">
        <v>14.8</v>
      </c>
      <c r="AM37" s="916" t="s">
        <v>143</v>
      </c>
      <c r="AN37" s="919" t="s">
        <v>143</v>
      </c>
      <c r="AO37" s="920">
        <v>8683744</v>
      </c>
      <c r="AP37" s="921">
        <v>7.4</v>
      </c>
      <c r="AQ37" s="922">
        <v>377142</v>
      </c>
      <c r="AR37" s="921">
        <v>0.3</v>
      </c>
      <c r="AS37" s="916">
        <v>136143</v>
      </c>
      <c r="AT37" s="921">
        <v>0.1</v>
      </c>
      <c r="AU37" s="916">
        <v>3253395</v>
      </c>
      <c r="AV37" s="919">
        <v>2.8</v>
      </c>
      <c r="AW37" s="183">
        <v>2743060</v>
      </c>
      <c r="AX37" s="178">
        <v>2.2999999999999998</v>
      </c>
      <c r="AY37" s="456">
        <v>2730586</v>
      </c>
      <c r="AZ37" s="178">
        <v>2.2999999999999998</v>
      </c>
      <c r="BA37" s="456">
        <v>8259400</v>
      </c>
      <c r="BB37" s="931">
        <v>7</v>
      </c>
      <c r="BC37" s="748">
        <v>117918694</v>
      </c>
      <c r="BD37" s="741">
        <v>100</v>
      </c>
      <c r="BE37" s="659"/>
    </row>
    <row r="38" spans="1:57" s="38" customFormat="1" ht="15.75" customHeight="1" x14ac:dyDescent="0.2">
      <c r="A38" s="121" t="s">
        <v>185</v>
      </c>
      <c r="B38" s="135">
        <v>120828758</v>
      </c>
      <c r="C38" s="423">
        <v>59.7</v>
      </c>
      <c r="D38" s="420">
        <v>1247987</v>
      </c>
      <c r="E38" s="423">
        <v>0.6</v>
      </c>
      <c r="F38" s="420">
        <v>74827</v>
      </c>
      <c r="G38" s="423">
        <v>0</v>
      </c>
      <c r="H38" s="420">
        <v>520207</v>
      </c>
      <c r="I38" s="423">
        <v>0.3</v>
      </c>
      <c r="J38" s="420">
        <v>268512</v>
      </c>
      <c r="K38" s="745">
        <v>0.1</v>
      </c>
      <c r="L38" s="135">
        <v>8183512</v>
      </c>
      <c r="M38" s="423">
        <v>4.0999999999999996</v>
      </c>
      <c r="N38" s="420">
        <v>359126</v>
      </c>
      <c r="O38" s="423">
        <v>0.2</v>
      </c>
      <c r="P38" s="421">
        <v>0</v>
      </c>
      <c r="Q38" s="423" t="s">
        <v>143</v>
      </c>
      <c r="R38" s="421">
        <v>356843</v>
      </c>
      <c r="S38" s="423">
        <v>0.2</v>
      </c>
      <c r="T38" s="125">
        <v>110067</v>
      </c>
      <c r="U38" s="132">
        <v>0.1</v>
      </c>
      <c r="V38" s="122">
        <v>1489627</v>
      </c>
      <c r="W38" s="124">
        <v>0.7</v>
      </c>
      <c r="X38" s="123">
        <v>2234761</v>
      </c>
      <c r="Y38" s="124">
        <v>1.1000000000000001</v>
      </c>
      <c r="Z38" s="123">
        <v>2012838</v>
      </c>
      <c r="AA38" s="123">
        <v>221923</v>
      </c>
      <c r="AB38" s="125" t="s">
        <v>143</v>
      </c>
      <c r="AC38" s="125">
        <v>56458</v>
      </c>
      <c r="AD38" s="124">
        <v>0</v>
      </c>
      <c r="AE38" s="125">
        <v>348575</v>
      </c>
      <c r="AF38" s="132">
        <v>0.2</v>
      </c>
      <c r="AG38" s="135">
        <v>2188146</v>
      </c>
      <c r="AH38" s="423">
        <v>1.1000000000000001</v>
      </c>
      <c r="AI38" s="420">
        <v>800229</v>
      </c>
      <c r="AJ38" s="423">
        <v>0.4</v>
      </c>
      <c r="AK38" s="420">
        <v>20975433</v>
      </c>
      <c r="AL38" s="746">
        <v>10.4</v>
      </c>
      <c r="AM38" s="905" t="s">
        <v>143</v>
      </c>
      <c r="AN38" s="753" t="s">
        <v>143</v>
      </c>
      <c r="AO38" s="752">
        <v>9381657</v>
      </c>
      <c r="AP38" s="756">
        <v>4.5999999999999996</v>
      </c>
      <c r="AQ38" s="927">
        <v>582441</v>
      </c>
      <c r="AR38" s="756">
        <v>0.3</v>
      </c>
      <c r="AS38" s="905">
        <v>85620</v>
      </c>
      <c r="AT38" s="756">
        <v>0</v>
      </c>
      <c r="AU38" s="905">
        <v>2895535</v>
      </c>
      <c r="AV38" s="753">
        <v>1.4</v>
      </c>
      <c r="AW38" s="135">
        <v>13591209</v>
      </c>
      <c r="AX38" s="423">
        <v>6.7</v>
      </c>
      <c r="AY38" s="420">
        <v>5874863</v>
      </c>
      <c r="AZ38" s="423">
        <v>2.9</v>
      </c>
      <c r="BA38" s="420">
        <v>9925200</v>
      </c>
      <c r="BB38" s="906">
        <v>4.9000000000000004</v>
      </c>
      <c r="BC38" s="744">
        <v>202379593</v>
      </c>
      <c r="BD38" s="745">
        <v>100</v>
      </c>
      <c r="BE38" s="659"/>
    </row>
    <row r="39" spans="1:57" s="38" customFormat="1" ht="15.75" customHeight="1" x14ac:dyDescent="0.2">
      <c r="A39" s="169" t="s">
        <v>186</v>
      </c>
      <c r="B39" s="145">
        <v>52011858</v>
      </c>
      <c r="C39" s="403">
        <v>38.6</v>
      </c>
      <c r="D39" s="397">
        <v>742467</v>
      </c>
      <c r="E39" s="403">
        <v>0.6</v>
      </c>
      <c r="F39" s="397">
        <v>56322</v>
      </c>
      <c r="G39" s="403">
        <v>0</v>
      </c>
      <c r="H39" s="397">
        <v>248851</v>
      </c>
      <c r="I39" s="403">
        <v>0.2</v>
      </c>
      <c r="J39" s="397">
        <v>170500</v>
      </c>
      <c r="K39" s="741">
        <v>0.1</v>
      </c>
      <c r="L39" s="145">
        <v>5476861</v>
      </c>
      <c r="M39" s="403">
        <v>4.0999999999999996</v>
      </c>
      <c r="N39" s="397">
        <v>175736</v>
      </c>
      <c r="O39" s="403">
        <v>0.1</v>
      </c>
      <c r="P39" s="401" t="s">
        <v>143</v>
      </c>
      <c r="Q39" s="403" t="s">
        <v>143</v>
      </c>
      <c r="R39" s="401">
        <v>165940</v>
      </c>
      <c r="S39" s="403">
        <v>0.1</v>
      </c>
      <c r="T39" s="106">
        <v>41880</v>
      </c>
      <c r="U39" s="142">
        <v>0</v>
      </c>
      <c r="V39" s="103">
        <v>977775</v>
      </c>
      <c r="W39" s="105">
        <v>0.7</v>
      </c>
      <c r="X39" s="104">
        <v>10306452</v>
      </c>
      <c r="Y39" s="105">
        <v>7.7</v>
      </c>
      <c r="Z39" s="104">
        <v>9599199</v>
      </c>
      <c r="AA39" s="104">
        <v>707234</v>
      </c>
      <c r="AB39" s="106">
        <v>19</v>
      </c>
      <c r="AC39" s="106">
        <v>40784</v>
      </c>
      <c r="AD39" s="105">
        <v>0</v>
      </c>
      <c r="AE39" s="106">
        <v>1337130</v>
      </c>
      <c r="AF39" s="142">
        <v>1</v>
      </c>
      <c r="AG39" s="145">
        <v>2028818</v>
      </c>
      <c r="AH39" s="403">
        <v>1.5</v>
      </c>
      <c r="AI39" s="397">
        <v>814079</v>
      </c>
      <c r="AJ39" s="403">
        <v>0.6</v>
      </c>
      <c r="AK39" s="397">
        <v>22854169</v>
      </c>
      <c r="AL39" s="742">
        <v>17</v>
      </c>
      <c r="AM39" s="907">
        <v>16082</v>
      </c>
      <c r="AN39" s="758">
        <v>0</v>
      </c>
      <c r="AO39" s="908">
        <v>8585939</v>
      </c>
      <c r="AP39" s="760">
        <v>6.4</v>
      </c>
      <c r="AQ39" s="757">
        <v>9155937</v>
      </c>
      <c r="AR39" s="760">
        <v>6.8</v>
      </c>
      <c r="AS39" s="907">
        <v>802786</v>
      </c>
      <c r="AT39" s="760">
        <v>0.6</v>
      </c>
      <c r="AU39" s="907">
        <v>294411</v>
      </c>
      <c r="AV39" s="758">
        <v>0.2</v>
      </c>
      <c r="AW39" s="145">
        <v>1852574</v>
      </c>
      <c r="AX39" s="403">
        <v>1.4</v>
      </c>
      <c r="AY39" s="397">
        <v>2248356</v>
      </c>
      <c r="AZ39" s="403">
        <v>1.7</v>
      </c>
      <c r="BA39" s="397">
        <v>14198800</v>
      </c>
      <c r="BB39" s="904">
        <v>10.5</v>
      </c>
      <c r="BC39" s="740">
        <v>134604507</v>
      </c>
      <c r="BD39" s="741">
        <v>100</v>
      </c>
      <c r="BE39" s="659"/>
    </row>
    <row r="40" spans="1:57" s="38" customFormat="1" ht="15.75" customHeight="1" x14ac:dyDescent="0.2">
      <c r="A40" s="121" t="s">
        <v>187</v>
      </c>
      <c r="B40" s="135">
        <v>70805154</v>
      </c>
      <c r="C40" s="423">
        <v>46.7</v>
      </c>
      <c r="D40" s="420">
        <v>2260704</v>
      </c>
      <c r="E40" s="423">
        <v>1.5</v>
      </c>
      <c r="F40" s="420">
        <v>109875</v>
      </c>
      <c r="G40" s="423">
        <v>0.1</v>
      </c>
      <c r="H40" s="420">
        <v>507640</v>
      </c>
      <c r="I40" s="423">
        <v>0.3</v>
      </c>
      <c r="J40" s="420">
        <v>292807</v>
      </c>
      <c r="K40" s="745">
        <v>0.2</v>
      </c>
      <c r="L40" s="135">
        <v>6299377</v>
      </c>
      <c r="M40" s="423">
        <v>4.2</v>
      </c>
      <c r="N40" s="420">
        <v>0</v>
      </c>
      <c r="O40" s="423">
        <v>0</v>
      </c>
      <c r="P40" s="421">
        <v>0</v>
      </c>
      <c r="Q40" s="423">
        <v>0</v>
      </c>
      <c r="R40" s="421">
        <v>172093</v>
      </c>
      <c r="S40" s="423">
        <v>0.1</v>
      </c>
      <c r="T40" s="125">
        <v>53571</v>
      </c>
      <c r="U40" s="132">
        <v>0</v>
      </c>
      <c r="V40" s="122">
        <v>870486</v>
      </c>
      <c r="W40" s="124">
        <v>0.6</v>
      </c>
      <c r="X40" s="123">
        <v>6188348</v>
      </c>
      <c r="Y40" s="124">
        <v>4.0999999999999996</v>
      </c>
      <c r="Z40" s="123">
        <v>5583158</v>
      </c>
      <c r="AA40" s="123">
        <f>605190-AB40</f>
        <v>605153</v>
      </c>
      <c r="AB40" s="125">
        <v>37</v>
      </c>
      <c r="AC40" s="125">
        <v>40801</v>
      </c>
      <c r="AD40" s="124">
        <v>0</v>
      </c>
      <c r="AE40" s="125">
        <v>1310343</v>
      </c>
      <c r="AF40" s="132">
        <v>0.9</v>
      </c>
      <c r="AG40" s="135">
        <v>2140065</v>
      </c>
      <c r="AH40" s="423">
        <v>1.4</v>
      </c>
      <c r="AI40" s="420">
        <v>299508</v>
      </c>
      <c r="AJ40" s="423">
        <v>0.2</v>
      </c>
      <c r="AK40" s="420">
        <v>32306068</v>
      </c>
      <c r="AL40" s="746">
        <v>21.3</v>
      </c>
      <c r="AM40" s="905">
        <v>0</v>
      </c>
      <c r="AN40" s="753">
        <v>0</v>
      </c>
      <c r="AO40" s="752">
        <v>10369492</v>
      </c>
      <c r="AP40" s="756">
        <v>6.8</v>
      </c>
      <c r="AQ40" s="927">
        <v>1288054</v>
      </c>
      <c r="AR40" s="756">
        <v>0.8</v>
      </c>
      <c r="AS40" s="905">
        <v>159002</v>
      </c>
      <c r="AT40" s="756">
        <v>0.1</v>
      </c>
      <c r="AU40" s="905">
        <v>648708</v>
      </c>
      <c r="AV40" s="753">
        <v>0.4</v>
      </c>
      <c r="AW40" s="135">
        <v>4322753</v>
      </c>
      <c r="AX40" s="423">
        <v>2.9</v>
      </c>
      <c r="AY40" s="420">
        <v>2698198</v>
      </c>
      <c r="AZ40" s="423">
        <v>1.8</v>
      </c>
      <c r="BA40" s="420">
        <v>8542545</v>
      </c>
      <c r="BB40" s="906">
        <v>5.6</v>
      </c>
      <c r="BC40" s="744">
        <v>151685562</v>
      </c>
      <c r="BD40" s="745">
        <v>100</v>
      </c>
      <c r="BE40" s="659"/>
    </row>
    <row r="41" spans="1:57" s="38" customFormat="1" ht="15.75" customHeight="1" x14ac:dyDescent="0.2">
      <c r="A41" s="169" t="s">
        <v>188</v>
      </c>
      <c r="B41" s="145">
        <v>68379527</v>
      </c>
      <c r="C41" s="403">
        <v>49.7</v>
      </c>
      <c r="D41" s="397">
        <v>568105</v>
      </c>
      <c r="E41" s="403">
        <v>0.4</v>
      </c>
      <c r="F41" s="397">
        <v>102468</v>
      </c>
      <c r="G41" s="403">
        <v>0.1</v>
      </c>
      <c r="H41" s="397">
        <v>473400</v>
      </c>
      <c r="I41" s="403">
        <v>0.3</v>
      </c>
      <c r="J41" s="397">
        <v>273084</v>
      </c>
      <c r="K41" s="741">
        <v>0.2</v>
      </c>
      <c r="L41" s="434">
        <v>6141371</v>
      </c>
      <c r="M41" s="403">
        <v>4.5</v>
      </c>
      <c r="N41" s="397" t="s">
        <v>143</v>
      </c>
      <c r="O41" s="403" t="s">
        <v>143</v>
      </c>
      <c r="P41" s="401">
        <v>0</v>
      </c>
      <c r="Q41" s="403">
        <v>0</v>
      </c>
      <c r="R41" s="401">
        <v>161414</v>
      </c>
      <c r="S41" s="403">
        <v>0.1</v>
      </c>
      <c r="T41" s="106">
        <v>50247</v>
      </c>
      <c r="U41" s="142">
        <v>0</v>
      </c>
      <c r="V41" s="103">
        <v>986824</v>
      </c>
      <c r="W41" s="105">
        <v>0.7</v>
      </c>
      <c r="X41" s="104">
        <v>606070</v>
      </c>
      <c r="Y41" s="105">
        <v>0.4</v>
      </c>
      <c r="Z41" s="414">
        <v>364290</v>
      </c>
      <c r="AA41" s="106">
        <v>241780</v>
      </c>
      <c r="AB41" s="104">
        <v>0</v>
      </c>
      <c r="AC41" s="106">
        <v>37641</v>
      </c>
      <c r="AD41" s="105">
        <v>0</v>
      </c>
      <c r="AE41" s="106">
        <v>1051389</v>
      </c>
      <c r="AF41" s="142">
        <v>0.8</v>
      </c>
      <c r="AG41" s="145">
        <v>2178096</v>
      </c>
      <c r="AH41" s="403">
        <v>1.6</v>
      </c>
      <c r="AI41" s="397">
        <v>565223</v>
      </c>
      <c r="AJ41" s="403">
        <v>0.4</v>
      </c>
      <c r="AK41" s="397">
        <v>24540658</v>
      </c>
      <c r="AL41" s="742">
        <v>17.8</v>
      </c>
      <c r="AM41" s="907">
        <v>0</v>
      </c>
      <c r="AN41" s="758">
        <v>0</v>
      </c>
      <c r="AO41" s="908">
        <v>9764384</v>
      </c>
      <c r="AP41" s="760">
        <v>7.1</v>
      </c>
      <c r="AQ41" s="757">
        <v>5090203</v>
      </c>
      <c r="AR41" s="760">
        <v>3.7</v>
      </c>
      <c r="AS41" s="907">
        <v>65181</v>
      </c>
      <c r="AT41" s="760">
        <v>0.1</v>
      </c>
      <c r="AU41" s="907">
        <v>365289</v>
      </c>
      <c r="AV41" s="758">
        <v>0.3</v>
      </c>
      <c r="AW41" s="145">
        <v>3984546</v>
      </c>
      <c r="AX41" s="403">
        <v>2.9</v>
      </c>
      <c r="AY41" s="397">
        <v>4295401</v>
      </c>
      <c r="AZ41" s="403">
        <v>3.1</v>
      </c>
      <c r="BA41" s="397">
        <v>7945500</v>
      </c>
      <c r="BB41" s="904">
        <v>5.8</v>
      </c>
      <c r="BC41" s="740">
        <v>137626021</v>
      </c>
      <c r="BD41" s="741">
        <v>100</v>
      </c>
      <c r="BE41" s="659"/>
    </row>
    <row r="42" spans="1:57" s="38" customFormat="1" ht="15.75" customHeight="1" x14ac:dyDescent="0.2">
      <c r="A42" s="121" t="s">
        <v>190</v>
      </c>
      <c r="B42" s="135">
        <v>51038267</v>
      </c>
      <c r="C42" s="423">
        <v>42.7</v>
      </c>
      <c r="D42" s="420">
        <v>588777</v>
      </c>
      <c r="E42" s="423">
        <v>0.5</v>
      </c>
      <c r="F42" s="420">
        <v>76440</v>
      </c>
      <c r="G42" s="423">
        <v>0.1</v>
      </c>
      <c r="H42" s="420">
        <v>352375</v>
      </c>
      <c r="I42" s="423">
        <v>0.3</v>
      </c>
      <c r="J42" s="420">
        <v>202458</v>
      </c>
      <c r="K42" s="745">
        <v>0.2</v>
      </c>
      <c r="L42" s="135">
        <v>5469378</v>
      </c>
      <c r="M42" s="423">
        <v>4.5999999999999996</v>
      </c>
      <c r="N42" s="420">
        <v>47437</v>
      </c>
      <c r="O42" s="423">
        <v>0</v>
      </c>
      <c r="P42" s="421" t="s">
        <v>143</v>
      </c>
      <c r="Q42" s="423" t="s">
        <v>143</v>
      </c>
      <c r="R42" s="421">
        <v>166429</v>
      </c>
      <c r="S42" s="423">
        <v>0.1</v>
      </c>
      <c r="T42" s="125">
        <v>51805</v>
      </c>
      <c r="U42" s="132">
        <v>0</v>
      </c>
      <c r="V42" s="122">
        <v>884104</v>
      </c>
      <c r="W42" s="124">
        <v>0.7</v>
      </c>
      <c r="X42" s="123">
        <v>10455384</v>
      </c>
      <c r="Y42" s="124">
        <v>8.8000000000000007</v>
      </c>
      <c r="Z42" s="123">
        <v>9705601</v>
      </c>
      <c r="AA42" s="123">
        <v>749783</v>
      </c>
      <c r="AB42" s="125" t="s">
        <v>143</v>
      </c>
      <c r="AC42" s="125">
        <v>40611</v>
      </c>
      <c r="AD42" s="124">
        <v>0</v>
      </c>
      <c r="AE42" s="125">
        <v>864429</v>
      </c>
      <c r="AF42" s="132">
        <v>0.7</v>
      </c>
      <c r="AG42" s="135">
        <v>2231015</v>
      </c>
      <c r="AH42" s="423">
        <v>1.9</v>
      </c>
      <c r="AI42" s="420">
        <v>497484</v>
      </c>
      <c r="AJ42" s="423">
        <v>0.4</v>
      </c>
      <c r="AK42" s="420">
        <v>24736397</v>
      </c>
      <c r="AL42" s="746">
        <v>20.7</v>
      </c>
      <c r="AM42" s="905" t="s">
        <v>143</v>
      </c>
      <c r="AN42" s="753" t="s">
        <v>143</v>
      </c>
      <c r="AO42" s="752">
        <v>8640646</v>
      </c>
      <c r="AP42" s="756">
        <v>7.2</v>
      </c>
      <c r="AQ42" s="927">
        <v>228485</v>
      </c>
      <c r="AR42" s="756">
        <v>0.2</v>
      </c>
      <c r="AS42" s="905">
        <v>73648</v>
      </c>
      <c r="AT42" s="756">
        <v>0.1</v>
      </c>
      <c r="AU42" s="905">
        <v>2775899</v>
      </c>
      <c r="AV42" s="753">
        <v>2.2999999999999998</v>
      </c>
      <c r="AW42" s="135">
        <v>2566192</v>
      </c>
      <c r="AX42" s="423">
        <v>2.1</v>
      </c>
      <c r="AY42" s="420">
        <v>1990090</v>
      </c>
      <c r="AZ42" s="423">
        <v>1.7</v>
      </c>
      <c r="BA42" s="420">
        <v>5493300</v>
      </c>
      <c r="BB42" s="906">
        <v>4.5999999999999996</v>
      </c>
      <c r="BC42" s="744">
        <v>119471050</v>
      </c>
      <c r="BD42" s="745">
        <v>100</v>
      </c>
      <c r="BE42" s="659"/>
    </row>
    <row r="43" spans="1:57" s="38" customFormat="1" ht="15.75" customHeight="1" x14ac:dyDescent="0.2">
      <c r="A43" s="169" t="s">
        <v>191</v>
      </c>
      <c r="B43" s="145">
        <v>57029780</v>
      </c>
      <c r="C43" s="403">
        <v>41.3</v>
      </c>
      <c r="D43" s="397">
        <v>638014</v>
      </c>
      <c r="E43" s="403">
        <v>0.5</v>
      </c>
      <c r="F43" s="397">
        <v>84534</v>
      </c>
      <c r="G43" s="403">
        <v>0.1</v>
      </c>
      <c r="H43" s="397">
        <v>389537</v>
      </c>
      <c r="I43" s="403">
        <v>0.3</v>
      </c>
      <c r="J43" s="397">
        <v>223651</v>
      </c>
      <c r="K43" s="741">
        <v>0.2</v>
      </c>
      <c r="L43" s="145">
        <v>6306742</v>
      </c>
      <c r="M43" s="403">
        <v>4.5999999999999996</v>
      </c>
      <c r="N43" s="397">
        <v>68819</v>
      </c>
      <c r="O43" s="403">
        <v>0.1</v>
      </c>
      <c r="P43" s="401">
        <v>0</v>
      </c>
      <c r="Q43" s="403">
        <v>0</v>
      </c>
      <c r="R43" s="401">
        <v>181282</v>
      </c>
      <c r="S43" s="403">
        <v>0.1</v>
      </c>
      <c r="T43" s="106">
        <v>56432</v>
      </c>
      <c r="U43" s="142">
        <v>0</v>
      </c>
      <c r="V43" s="103">
        <v>911399</v>
      </c>
      <c r="W43" s="105">
        <v>0.7</v>
      </c>
      <c r="X43" s="104">
        <v>12372956</v>
      </c>
      <c r="Y43" s="105">
        <v>9</v>
      </c>
      <c r="Z43" s="104">
        <v>11978290</v>
      </c>
      <c r="AA43" s="104">
        <v>394666</v>
      </c>
      <c r="AB43" s="106">
        <v>0</v>
      </c>
      <c r="AC43" s="106">
        <v>49116</v>
      </c>
      <c r="AD43" s="105">
        <v>0</v>
      </c>
      <c r="AE43" s="106">
        <v>1022505</v>
      </c>
      <c r="AF43" s="142">
        <v>0.7</v>
      </c>
      <c r="AG43" s="145">
        <v>1685485</v>
      </c>
      <c r="AH43" s="403">
        <v>1.2</v>
      </c>
      <c r="AI43" s="397">
        <v>539275</v>
      </c>
      <c r="AJ43" s="403">
        <v>0.4</v>
      </c>
      <c r="AK43" s="397">
        <v>27771163</v>
      </c>
      <c r="AL43" s="742">
        <v>20.100000000000001</v>
      </c>
      <c r="AM43" s="907">
        <v>0</v>
      </c>
      <c r="AN43" s="758">
        <v>0</v>
      </c>
      <c r="AO43" s="908">
        <v>12974592</v>
      </c>
      <c r="AP43" s="760">
        <v>9.4</v>
      </c>
      <c r="AQ43" s="757">
        <v>200615</v>
      </c>
      <c r="AR43" s="760">
        <v>0.1</v>
      </c>
      <c r="AS43" s="907">
        <v>117567</v>
      </c>
      <c r="AT43" s="760">
        <v>0.1</v>
      </c>
      <c r="AU43" s="907">
        <v>751697</v>
      </c>
      <c r="AV43" s="758">
        <v>0.5</v>
      </c>
      <c r="AW43" s="145">
        <v>2306619</v>
      </c>
      <c r="AX43" s="403">
        <v>1.7</v>
      </c>
      <c r="AY43" s="397">
        <v>1430791</v>
      </c>
      <c r="AZ43" s="403">
        <v>1</v>
      </c>
      <c r="BA43" s="397">
        <v>10897675</v>
      </c>
      <c r="BB43" s="904">
        <v>7.9</v>
      </c>
      <c r="BC43" s="740">
        <v>138010246</v>
      </c>
      <c r="BD43" s="741">
        <v>100</v>
      </c>
      <c r="BE43" s="659"/>
    </row>
    <row r="44" spans="1:57" s="38" customFormat="1" ht="15.75" customHeight="1" x14ac:dyDescent="0.2">
      <c r="A44" s="121" t="s">
        <v>253</v>
      </c>
      <c r="B44" s="135">
        <v>39579752</v>
      </c>
      <c r="C44" s="423">
        <v>39</v>
      </c>
      <c r="D44" s="420">
        <v>439432</v>
      </c>
      <c r="E44" s="423">
        <v>0.4</v>
      </c>
      <c r="F44" s="420">
        <v>51487</v>
      </c>
      <c r="G44" s="423">
        <v>0.1</v>
      </c>
      <c r="H44" s="420">
        <v>237693</v>
      </c>
      <c r="I44" s="423">
        <v>0.2</v>
      </c>
      <c r="J44" s="420">
        <v>136927</v>
      </c>
      <c r="K44" s="745">
        <v>0.1</v>
      </c>
      <c r="L44" s="135">
        <v>4521777</v>
      </c>
      <c r="M44" s="423">
        <v>4.5</v>
      </c>
      <c r="N44" s="420" t="s">
        <v>143</v>
      </c>
      <c r="O44" s="423" t="s">
        <v>143</v>
      </c>
      <c r="P44" s="421" t="s">
        <v>143</v>
      </c>
      <c r="Q44" s="423" t="s">
        <v>143</v>
      </c>
      <c r="R44" s="421">
        <v>124727</v>
      </c>
      <c r="S44" s="423">
        <v>0.1</v>
      </c>
      <c r="T44" s="125">
        <v>38826</v>
      </c>
      <c r="U44" s="132">
        <v>0</v>
      </c>
      <c r="V44" s="122">
        <v>615795</v>
      </c>
      <c r="W44" s="124">
        <v>0.6</v>
      </c>
      <c r="X44" s="123">
        <v>12175745</v>
      </c>
      <c r="Y44" s="124">
        <v>12</v>
      </c>
      <c r="Z44" s="123">
        <v>11610268</v>
      </c>
      <c r="AA44" s="123">
        <v>565421</v>
      </c>
      <c r="AB44" s="125">
        <v>56</v>
      </c>
      <c r="AC44" s="125">
        <v>34393</v>
      </c>
      <c r="AD44" s="124">
        <v>0</v>
      </c>
      <c r="AE44" s="125">
        <v>1059553</v>
      </c>
      <c r="AF44" s="132">
        <v>1.1000000000000001</v>
      </c>
      <c r="AG44" s="135">
        <v>988123</v>
      </c>
      <c r="AH44" s="423">
        <v>1</v>
      </c>
      <c r="AI44" s="420">
        <v>551998</v>
      </c>
      <c r="AJ44" s="423">
        <v>0.5</v>
      </c>
      <c r="AK44" s="420">
        <v>23248337</v>
      </c>
      <c r="AL44" s="746">
        <v>22.9</v>
      </c>
      <c r="AM44" s="905">
        <v>53004</v>
      </c>
      <c r="AN44" s="753">
        <v>0.1</v>
      </c>
      <c r="AO44" s="752">
        <v>7628128</v>
      </c>
      <c r="AP44" s="756">
        <v>7.5</v>
      </c>
      <c r="AQ44" s="927">
        <v>137717</v>
      </c>
      <c r="AR44" s="756">
        <v>0.1</v>
      </c>
      <c r="AS44" s="905">
        <v>143499</v>
      </c>
      <c r="AT44" s="756">
        <v>0.2</v>
      </c>
      <c r="AU44" s="905">
        <v>238755</v>
      </c>
      <c r="AV44" s="753">
        <v>0.2</v>
      </c>
      <c r="AW44" s="135">
        <v>853619</v>
      </c>
      <c r="AX44" s="423">
        <v>0.9</v>
      </c>
      <c r="AY44" s="420">
        <v>1165857</v>
      </c>
      <c r="AZ44" s="423">
        <v>1.2</v>
      </c>
      <c r="BA44" s="420">
        <v>7394942</v>
      </c>
      <c r="BB44" s="906">
        <v>7.3</v>
      </c>
      <c r="BC44" s="744">
        <v>101420086</v>
      </c>
      <c r="BD44" s="745">
        <v>100</v>
      </c>
      <c r="BE44" s="659"/>
    </row>
    <row r="45" spans="1:57" s="38" customFormat="1" ht="15.75" customHeight="1" x14ac:dyDescent="0.2">
      <c r="A45" s="169" t="s">
        <v>193</v>
      </c>
      <c r="B45" s="145">
        <v>28885995</v>
      </c>
      <c r="C45" s="403">
        <v>32.4</v>
      </c>
      <c r="D45" s="397">
        <v>343468</v>
      </c>
      <c r="E45" s="403">
        <v>0.4</v>
      </c>
      <c r="F45" s="397">
        <v>41924</v>
      </c>
      <c r="G45" s="403">
        <v>0</v>
      </c>
      <c r="H45" s="397">
        <v>193381</v>
      </c>
      <c r="I45" s="403">
        <v>0.2</v>
      </c>
      <c r="J45" s="397">
        <v>111228</v>
      </c>
      <c r="K45" s="741">
        <v>0.1</v>
      </c>
      <c r="L45" s="145">
        <v>3699532</v>
      </c>
      <c r="M45" s="403">
        <v>4.2</v>
      </c>
      <c r="N45" s="397" t="s">
        <v>143</v>
      </c>
      <c r="O45" s="403" t="s">
        <v>143</v>
      </c>
      <c r="P45" s="401" t="s">
        <v>143</v>
      </c>
      <c r="Q45" s="403" t="s">
        <v>143</v>
      </c>
      <c r="R45" s="401">
        <v>97368</v>
      </c>
      <c r="S45" s="403">
        <v>0.1</v>
      </c>
      <c r="T45" s="106">
        <v>30310</v>
      </c>
      <c r="U45" s="142">
        <v>0</v>
      </c>
      <c r="V45" s="103">
        <v>430233</v>
      </c>
      <c r="W45" s="105">
        <v>0.5</v>
      </c>
      <c r="X45" s="104">
        <v>13426828</v>
      </c>
      <c r="Y45" s="105">
        <v>15.1</v>
      </c>
      <c r="Z45" s="104">
        <v>12908147</v>
      </c>
      <c r="AA45" s="104">
        <v>518681</v>
      </c>
      <c r="AB45" s="106" t="s">
        <v>143</v>
      </c>
      <c r="AC45" s="106">
        <v>30182</v>
      </c>
      <c r="AD45" s="105">
        <v>0</v>
      </c>
      <c r="AE45" s="106">
        <v>559398</v>
      </c>
      <c r="AF45" s="142">
        <v>0.6</v>
      </c>
      <c r="AG45" s="145">
        <v>506335</v>
      </c>
      <c r="AH45" s="403">
        <v>0.6</v>
      </c>
      <c r="AI45" s="397">
        <v>320662</v>
      </c>
      <c r="AJ45" s="403">
        <v>0.4</v>
      </c>
      <c r="AK45" s="397">
        <v>21360550</v>
      </c>
      <c r="AL45" s="742">
        <v>23.9</v>
      </c>
      <c r="AM45" s="907" t="s">
        <v>143</v>
      </c>
      <c r="AN45" s="758" t="s">
        <v>143</v>
      </c>
      <c r="AO45" s="908">
        <v>9806790</v>
      </c>
      <c r="AP45" s="760">
        <v>11</v>
      </c>
      <c r="AQ45" s="757">
        <v>123911</v>
      </c>
      <c r="AR45" s="760">
        <v>0.1</v>
      </c>
      <c r="AS45" s="907">
        <v>61627</v>
      </c>
      <c r="AT45" s="760">
        <v>0.1</v>
      </c>
      <c r="AU45" s="907">
        <v>1122658</v>
      </c>
      <c r="AV45" s="758">
        <v>1.3</v>
      </c>
      <c r="AW45" s="145">
        <v>1709937</v>
      </c>
      <c r="AX45" s="403">
        <v>1.9</v>
      </c>
      <c r="AY45" s="397">
        <v>1119919</v>
      </c>
      <c r="AZ45" s="403">
        <v>1.2</v>
      </c>
      <c r="BA45" s="397">
        <v>5237700</v>
      </c>
      <c r="BB45" s="904">
        <v>5.9</v>
      </c>
      <c r="BC45" s="740">
        <v>89219936</v>
      </c>
      <c r="BD45" s="741">
        <v>100</v>
      </c>
      <c r="BE45" s="659"/>
    </row>
    <row r="46" spans="1:57" s="38" customFormat="1" ht="15.75" customHeight="1" x14ac:dyDescent="0.2">
      <c r="A46" s="121" t="s">
        <v>194</v>
      </c>
      <c r="B46" s="135">
        <v>79651128</v>
      </c>
      <c r="C46" s="423">
        <v>38.4</v>
      </c>
      <c r="D46" s="420">
        <v>769847</v>
      </c>
      <c r="E46" s="423">
        <v>0.4</v>
      </c>
      <c r="F46" s="420">
        <v>89348</v>
      </c>
      <c r="G46" s="423">
        <v>0.1</v>
      </c>
      <c r="H46" s="420">
        <v>412416</v>
      </c>
      <c r="I46" s="423">
        <v>0.2</v>
      </c>
      <c r="J46" s="420">
        <v>237519</v>
      </c>
      <c r="K46" s="745">
        <v>0.1</v>
      </c>
      <c r="L46" s="135">
        <v>8678567</v>
      </c>
      <c r="M46" s="423">
        <v>4.2</v>
      </c>
      <c r="N46" s="420" t="s">
        <v>143</v>
      </c>
      <c r="O46" s="423" t="s">
        <v>143</v>
      </c>
      <c r="P46" s="421" t="s">
        <v>143</v>
      </c>
      <c r="Q46" s="423" t="s">
        <v>143</v>
      </c>
      <c r="R46" s="421">
        <v>218429</v>
      </c>
      <c r="S46" s="423">
        <v>0.1</v>
      </c>
      <c r="T46" s="125">
        <v>67996</v>
      </c>
      <c r="U46" s="132">
        <v>0</v>
      </c>
      <c r="V46" s="122">
        <v>943700</v>
      </c>
      <c r="W46" s="124">
        <v>0.5</v>
      </c>
      <c r="X46" s="123">
        <v>20170254</v>
      </c>
      <c r="Y46" s="124">
        <v>9.6999999999999993</v>
      </c>
      <c r="Z46" s="123">
        <v>19492453</v>
      </c>
      <c r="AA46" s="123">
        <v>677801</v>
      </c>
      <c r="AB46" s="125">
        <v>0</v>
      </c>
      <c r="AC46" s="125">
        <v>64577</v>
      </c>
      <c r="AD46" s="124">
        <v>0</v>
      </c>
      <c r="AE46" s="125">
        <v>2039418</v>
      </c>
      <c r="AF46" s="132">
        <v>1</v>
      </c>
      <c r="AG46" s="135">
        <v>2063869</v>
      </c>
      <c r="AH46" s="423">
        <v>1</v>
      </c>
      <c r="AI46" s="420">
        <v>367026</v>
      </c>
      <c r="AJ46" s="423">
        <v>0.2</v>
      </c>
      <c r="AK46" s="420">
        <v>49396344</v>
      </c>
      <c r="AL46" s="746">
        <v>23.8</v>
      </c>
      <c r="AM46" s="905" t="s">
        <v>143</v>
      </c>
      <c r="AN46" s="753" t="s">
        <v>143</v>
      </c>
      <c r="AO46" s="752">
        <v>14314140</v>
      </c>
      <c r="AP46" s="756">
        <v>6.9</v>
      </c>
      <c r="AQ46" s="927">
        <v>3122116</v>
      </c>
      <c r="AR46" s="756">
        <v>1.5</v>
      </c>
      <c r="AS46" s="905">
        <v>73090</v>
      </c>
      <c r="AT46" s="756">
        <v>0</v>
      </c>
      <c r="AU46" s="905">
        <v>3755409</v>
      </c>
      <c r="AV46" s="753">
        <v>1.8</v>
      </c>
      <c r="AW46" s="135">
        <v>2695211</v>
      </c>
      <c r="AX46" s="423">
        <v>1.3</v>
      </c>
      <c r="AY46" s="420">
        <v>3381602</v>
      </c>
      <c r="AZ46" s="423">
        <v>1.6</v>
      </c>
      <c r="BA46" s="420">
        <v>14949900</v>
      </c>
      <c r="BB46" s="906">
        <v>7.2</v>
      </c>
      <c r="BC46" s="744">
        <v>207461906</v>
      </c>
      <c r="BD46" s="745">
        <v>100</v>
      </c>
      <c r="BE46" s="659"/>
    </row>
    <row r="47" spans="1:57" s="38" customFormat="1" ht="15.75" customHeight="1" x14ac:dyDescent="0.2">
      <c r="A47" s="169" t="s">
        <v>195</v>
      </c>
      <c r="B47" s="145">
        <v>97797976</v>
      </c>
      <c r="C47" s="403">
        <v>44.4</v>
      </c>
      <c r="D47" s="397">
        <v>1436412</v>
      </c>
      <c r="E47" s="403">
        <v>0.7</v>
      </c>
      <c r="F47" s="397">
        <v>81434</v>
      </c>
      <c r="G47" s="403">
        <v>0</v>
      </c>
      <c r="H47" s="397">
        <v>527748</v>
      </c>
      <c r="I47" s="403">
        <v>0.2</v>
      </c>
      <c r="J47" s="397">
        <v>282808</v>
      </c>
      <c r="K47" s="741">
        <v>0.1</v>
      </c>
      <c r="L47" s="145">
        <v>9416173</v>
      </c>
      <c r="M47" s="403">
        <v>4.3</v>
      </c>
      <c r="N47" s="397">
        <v>48323</v>
      </c>
      <c r="O47" s="403">
        <v>0</v>
      </c>
      <c r="P47" s="401" t="s">
        <v>143</v>
      </c>
      <c r="Q47" s="403" t="s">
        <v>143</v>
      </c>
      <c r="R47" s="401">
        <v>267308</v>
      </c>
      <c r="S47" s="403">
        <v>0.1</v>
      </c>
      <c r="T47" s="106">
        <v>75300</v>
      </c>
      <c r="U47" s="142">
        <v>0</v>
      </c>
      <c r="V47" s="103">
        <v>1431363</v>
      </c>
      <c r="W47" s="105">
        <v>0.7</v>
      </c>
      <c r="X47" s="104">
        <v>13551609</v>
      </c>
      <c r="Y47" s="105">
        <v>6.2</v>
      </c>
      <c r="Z47" s="104">
        <v>12344671</v>
      </c>
      <c r="AA47" s="104">
        <v>1206938</v>
      </c>
      <c r="AB47" s="106" t="s">
        <v>143</v>
      </c>
      <c r="AC47" s="106">
        <v>95159</v>
      </c>
      <c r="AD47" s="105">
        <v>0</v>
      </c>
      <c r="AE47" s="106">
        <v>1439549</v>
      </c>
      <c r="AF47" s="142">
        <v>0.7</v>
      </c>
      <c r="AG47" s="145">
        <v>6156645</v>
      </c>
      <c r="AH47" s="403">
        <v>2.8</v>
      </c>
      <c r="AI47" s="397">
        <v>1106195</v>
      </c>
      <c r="AJ47" s="403">
        <v>0.5</v>
      </c>
      <c r="AK47" s="397">
        <v>36330566</v>
      </c>
      <c r="AL47" s="742">
        <v>16.5</v>
      </c>
      <c r="AM47" s="907">
        <v>6984</v>
      </c>
      <c r="AN47" s="758">
        <v>0</v>
      </c>
      <c r="AO47" s="908">
        <v>13112918</v>
      </c>
      <c r="AP47" s="760">
        <v>6</v>
      </c>
      <c r="AQ47" s="757">
        <v>876593</v>
      </c>
      <c r="AR47" s="760">
        <v>0.4</v>
      </c>
      <c r="AS47" s="907">
        <v>145257</v>
      </c>
      <c r="AT47" s="760">
        <v>0.1</v>
      </c>
      <c r="AU47" s="907">
        <v>1829193</v>
      </c>
      <c r="AV47" s="758">
        <v>0.8</v>
      </c>
      <c r="AW47" s="145">
        <v>9513814</v>
      </c>
      <c r="AX47" s="403">
        <v>4.3</v>
      </c>
      <c r="AY47" s="397">
        <v>3853988</v>
      </c>
      <c r="AZ47" s="403">
        <v>1.7</v>
      </c>
      <c r="BA47" s="397">
        <v>20984200</v>
      </c>
      <c r="BB47" s="904">
        <v>9.5</v>
      </c>
      <c r="BC47" s="740">
        <v>220367515</v>
      </c>
      <c r="BD47" s="741">
        <v>100</v>
      </c>
      <c r="BE47" s="659"/>
    </row>
    <row r="48" spans="1:57" s="38" customFormat="1" ht="15.75" customHeight="1" x14ac:dyDescent="0.2">
      <c r="A48" s="121" t="s">
        <v>196</v>
      </c>
      <c r="B48" s="193">
        <v>80591085</v>
      </c>
      <c r="C48" s="161">
        <v>39.799999999999997</v>
      </c>
      <c r="D48" s="438">
        <v>785900</v>
      </c>
      <c r="E48" s="161">
        <v>0.4</v>
      </c>
      <c r="F48" s="438">
        <v>68530</v>
      </c>
      <c r="G48" s="161">
        <v>0</v>
      </c>
      <c r="H48" s="438">
        <v>444120</v>
      </c>
      <c r="I48" s="161">
        <v>0.2</v>
      </c>
      <c r="J48" s="438">
        <v>238078</v>
      </c>
      <c r="K48" s="747">
        <v>0.1</v>
      </c>
      <c r="L48" s="193">
        <v>7757202</v>
      </c>
      <c r="M48" s="161">
        <v>3.8</v>
      </c>
      <c r="N48" s="438">
        <v>0</v>
      </c>
      <c r="O48" s="161">
        <v>0</v>
      </c>
      <c r="P48" s="467">
        <v>0</v>
      </c>
      <c r="Q48" s="161">
        <v>0</v>
      </c>
      <c r="R48" s="467">
        <v>160749</v>
      </c>
      <c r="S48" s="161">
        <v>0.1</v>
      </c>
      <c r="T48" s="163">
        <v>45283</v>
      </c>
      <c r="U48" s="164">
        <v>0</v>
      </c>
      <c r="V48" s="186">
        <v>936996</v>
      </c>
      <c r="W48" s="162">
        <v>0.5</v>
      </c>
      <c r="X48" s="187">
        <v>12845538</v>
      </c>
      <c r="Y48" s="162">
        <v>6.3</v>
      </c>
      <c r="Z48" s="187">
        <v>12360552</v>
      </c>
      <c r="AA48" s="187">
        <v>484986</v>
      </c>
      <c r="AB48" s="163">
        <v>0</v>
      </c>
      <c r="AC48" s="163">
        <v>63270</v>
      </c>
      <c r="AD48" s="162">
        <v>0</v>
      </c>
      <c r="AE48" s="163">
        <v>1240265</v>
      </c>
      <c r="AF48" s="164">
        <v>0.6</v>
      </c>
      <c r="AG48" s="193">
        <v>6415339</v>
      </c>
      <c r="AH48" s="161">
        <v>3.2</v>
      </c>
      <c r="AI48" s="438">
        <v>385766</v>
      </c>
      <c r="AJ48" s="161">
        <v>0.2</v>
      </c>
      <c r="AK48" s="438">
        <v>48263163</v>
      </c>
      <c r="AL48" s="221">
        <v>23.9</v>
      </c>
      <c r="AM48" s="909">
        <v>0</v>
      </c>
      <c r="AN48" s="929">
        <v>0</v>
      </c>
      <c r="AO48" s="912">
        <v>12893354</v>
      </c>
      <c r="AP48" s="913">
        <v>6.4</v>
      </c>
      <c r="AQ48" s="925">
        <v>5665576</v>
      </c>
      <c r="AR48" s="913">
        <v>2.8</v>
      </c>
      <c r="AS48" s="909">
        <v>48215</v>
      </c>
      <c r="AT48" s="913">
        <v>0</v>
      </c>
      <c r="AU48" s="909">
        <v>2760167</v>
      </c>
      <c r="AV48" s="929">
        <v>1.4</v>
      </c>
      <c r="AW48" s="193">
        <v>788098</v>
      </c>
      <c r="AX48" s="161">
        <v>0.4</v>
      </c>
      <c r="AY48" s="438">
        <v>6442959</v>
      </c>
      <c r="AZ48" s="161">
        <v>3.2</v>
      </c>
      <c r="BA48" s="438">
        <v>13525078</v>
      </c>
      <c r="BB48" s="930">
        <v>6.7</v>
      </c>
      <c r="BC48" s="524">
        <v>202364731</v>
      </c>
      <c r="BD48" s="745">
        <v>100</v>
      </c>
      <c r="BE48" s="659"/>
    </row>
    <row r="49" spans="1:57" s="38" customFormat="1" ht="15.75" customHeight="1" x14ac:dyDescent="0.2">
      <c r="A49" s="169" t="s">
        <v>197</v>
      </c>
      <c r="B49" s="145">
        <v>43968049</v>
      </c>
      <c r="C49" s="403">
        <v>41.2</v>
      </c>
      <c r="D49" s="397">
        <v>501860</v>
      </c>
      <c r="E49" s="403">
        <v>0.5</v>
      </c>
      <c r="F49" s="397">
        <v>45915</v>
      </c>
      <c r="G49" s="403">
        <v>0</v>
      </c>
      <c r="H49" s="397">
        <v>297625</v>
      </c>
      <c r="I49" s="403">
        <v>0.3</v>
      </c>
      <c r="J49" s="397">
        <v>159525</v>
      </c>
      <c r="K49" s="741">
        <v>0.1</v>
      </c>
      <c r="L49" s="145">
        <v>4709596</v>
      </c>
      <c r="M49" s="403">
        <v>4.4000000000000004</v>
      </c>
      <c r="N49" s="397">
        <v>0</v>
      </c>
      <c r="O49" s="403">
        <v>0</v>
      </c>
      <c r="P49" s="401">
        <v>0</v>
      </c>
      <c r="Q49" s="403">
        <v>0</v>
      </c>
      <c r="R49" s="401">
        <v>102579</v>
      </c>
      <c r="S49" s="403">
        <v>0.1</v>
      </c>
      <c r="T49" s="106">
        <v>28895</v>
      </c>
      <c r="U49" s="142">
        <v>0</v>
      </c>
      <c r="V49" s="103">
        <v>973267</v>
      </c>
      <c r="W49" s="105">
        <v>0.9</v>
      </c>
      <c r="X49" s="104">
        <v>10166911</v>
      </c>
      <c r="Y49" s="105">
        <v>9.5</v>
      </c>
      <c r="Z49" s="104">
        <v>9789035</v>
      </c>
      <c r="AA49" s="104">
        <v>377876</v>
      </c>
      <c r="AB49" s="138">
        <v>0</v>
      </c>
      <c r="AC49" s="106">
        <v>40604</v>
      </c>
      <c r="AD49" s="105">
        <v>0</v>
      </c>
      <c r="AE49" s="106">
        <v>614278</v>
      </c>
      <c r="AF49" s="142">
        <v>0.6</v>
      </c>
      <c r="AG49" s="145">
        <v>2245076</v>
      </c>
      <c r="AH49" s="403">
        <v>2.1</v>
      </c>
      <c r="AI49" s="397">
        <v>483983</v>
      </c>
      <c r="AJ49" s="403">
        <v>0.5</v>
      </c>
      <c r="AK49" s="397">
        <v>21432008</v>
      </c>
      <c r="AL49" s="742">
        <v>20.100000000000001</v>
      </c>
      <c r="AM49" s="907">
        <v>0</v>
      </c>
      <c r="AN49" s="758">
        <v>0</v>
      </c>
      <c r="AO49" s="908">
        <v>7407449</v>
      </c>
      <c r="AP49" s="760">
        <v>6.9</v>
      </c>
      <c r="AQ49" s="757">
        <v>381132</v>
      </c>
      <c r="AR49" s="760">
        <v>0.4</v>
      </c>
      <c r="AS49" s="907">
        <v>387787</v>
      </c>
      <c r="AT49" s="760">
        <v>0.4</v>
      </c>
      <c r="AU49" s="907">
        <v>851498</v>
      </c>
      <c r="AV49" s="758">
        <v>0.8</v>
      </c>
      <c r="AW49" s="145">
        <v>943037</v>
      </c>
      <c r="AX49" s="403">
        <v>0.9</v>
      </c>
      <c r="AY49" s="397">
        <v>1671713</v>
      </c>
      <c r="AZ49" s="403">
        <v>1.6</v>
      </c>
      <c r="BA49" s="397">
        <v>9376716</v>
      </c>
      <c r="BB49" s="904">
        <v>8.8000000000000007</v>
      </c>
      <c r="BC49" s="740">
        <v>106789503</v>
      </c>
      <c r="BD49" s="741">
        <v>100</v>
      </c>
      <c r="BE49" s="659"/>
    </row>
    <row r="50" spans="1:57" s="38" customFormat="1" ht="15.75" customHeight="1" x14ac:dyDescent="0.2">
      <c r="A50" s="121" t="s">
        <v>198</v>
      </c>
      <c r="B50" s="135">
        <v>87638986</v>
      </c>
      <c r="C50" s="423">
        <v>49.9</v>
      </c>
      <c r="D50" s="420">
        <v>837786</v>
      </c>
      <c r="E50" s="423">
        <v>0.5</v>
      </c>
      <c r="F50" s="420">
        <v>110424</v>
      </c>
      <c r="G50" s="423">
        <v>0.1</v>
      </c>
      <c r="H50" s="420">
        <v>715756</v>
      </c>
      <c r="I50" s="423">
        <v>0.4</v>
      </c>
      <c r="J50" s="420">
        <v>383609</v>
      </c>
      <c r="K50" s="745">
        <v>0.2</v>
      </c>
      <c r="L50" s="135">
        <v>7633764</v>
      </c>
      <c r="M50" s="423">
        <v>4.3</v>
      </c>
      <c r="N50" s="420">
        <v>138777</v>
      </c>
      <c r="O50" s="423">
        <v>0.1</v>
      </c>
      <c r="P50" s="421">
        <v>0</v>
      </c>
      <c r="Q50" s="423">
        <v>0</v>
      </c>
      <c r="R50" s="421">
        <v>171518</v>
      </c>
      <c r="S50" s="423">
        <v>0.1</v>
      </c>
      <c r="T50" s="125">
        <v>48316</v>
      </c>
      <c r="U50" s="132">
        <v>0</v>
      </c>
      <c r="V50" s="122">
        <v>1123219</v>
      </c>
      <c r="W50" s="124">
        <v>0.6</v>
      </c>
      <c r="X50" s="123">
        <v>3280286</v>
      </c>
      <c r="Y50" s="124">
        <v>1.9</v>
      </c>
      <c r="Z50" s="123">
        <v>2925868</v>
      </c>
      <c r="AA50" s="123">
        <v>354418</v>
      </c>
      <c r="AB50" s="125">
        <v>0</v>
      </c>
      <c r="AC50" s="125">
        <v>57699</v>
      </c>
      <c r="AD50" s="124">
        <v>0</v>
      </c>
      <c r="AE50" s="125">
        <v>817471</v>
      </c>
      <c r="AF50" s="132">
        <v>0.5</v>
      </c>
      <c r="AG50" s="135">
        <v>6147731</v>
      </c>
      <c r="AH50" s="423">
        <v>3.5</v>
      </c>
      <c r="AI50" s="420">
        <v>916957</v>
      </c>
      <c r="AJ50" s="423">
        <v>0.5</v>
      </c>
      <c r="AK50" s="420">
        <v>30849241</v>
      </c>
      <c r="AL50" s="746">
        <v>17.600000000000001</v>
      </c>
      <c r="AM50" s="905">
        <v>0</v>
      </c>
      <c r="AN50" s="753">
        <v>0</v>
      </c>
      <c r="AO50" s="752">
        <v>11229059</v>
      </c>
      <c r="AP50" s="756">
        <v>6.4</v>
      </c>
      <c r="AQ50" s="927">
        <v>1242344</v>
      </c>
      <c r="AR50" s="756">
        <v>0.7</v>
      </c>
      <c r="AS50" s="905">
        <v>185078</v>
      </c>
      <c r="AT50" s="756">
        <v>0.1</v>
      </c>
      <c r="AU50" s="905">
        <v>6010105</v>
      </c>
      <c r="AV50" s="753">
        <v>3.4</v>
      </c>
      <c r="AW50" s="135">
        <v>1020429</v>
      </c>
      <c r="AX50" s="423">
        <v>0.6</v>
      </c>
      <c r="AY50" s="420">
        <v>4688583</v>
      </c>
      <c r="AZ50" s="423">
        <v>2.7</v>
      </c>
      <c r="BA50" s="420">
        <v>10452400</v>
      </c>
      <c r="BB50" s="906">
        <v>5.9</v>
      </c>
      <c r="BC50" s="744">
        <f>B50+D50+F50+H50+J50+L50+N50+P50+R50+T50+V50+X50+AC50+AE50+AG50+AI50+AK50+AM50+AO50+AQ50+AS50+AU50+AW50+AY50+BA50</f>
        <v>175699538</v>
      </c>
      <c r="BD50" s="745">
        <f>C50+E50+G50+I50+K50+M50+O50+Q50+S50+U50+W50+Y50+AD50+AF50+AH50+AJ50+AL50+AN50+AP50+AR50+AT50+AV50+AX50+AZ50+BB50</f>
        <v>100.00000000000001</v>
      </c>
      <c r="BE50" s="659"/>
    </row>
    <row r="51" spans="1:57" s="38" customFormat="1" ht="15.75" customHeight="1" x14ac:dyDescent="0.2">
      <c r="A51" s="169" t="s">
        <v>200</v>
      </c>
      <c r="B51" s="145">
        <v>52936388</v>
      </c>
      <c r="C51" s="403">
        <v>40.799999999999997</v>
      </c>
      <c r="D51" s="397">
        <v>798271</v>
      </c>
      <c r="E51" s="403">
        <v>0.6</v>
      </c>
      <c r="F51" s="397">
        <v>79626</v>
      </c>
      <c r="G51" s="403">
        <v>0.1</v>
      </c>
      <c r="H51" s="397">
        <v>532712</v>
      </c>
      <c r="I51" s="403">
        <v>0.4</v>
      </c>
      <c r="J51" s="397">
        <v>305696</v>
      </c>
      <c r="K51" s="741">
        <v>0.2</v>
      </c>
      <c r="L51" s="145">
        <v>5750780</v>
      </c>
      <c r="M51" s="403">
        <v>4.4000000000000004</v>
      </c>
      <c r="N51" s="397">
        <v>247414</v>
      </c>
      <c r="O51" s="403">
        <v>0.2</v>
      </c>
      <c r="P51" s="401" t="s">
        <v>143</v>
      </c>
      <c r="Q51" s="403" t="s">
        <v>143</v>
      </c>
      <c r="R51" s="401">
        <v>130786</v>
      </c>
      <c r="S51" s="403">
        <v>0.1</v>
      </c>
      <c r="T51" s="106">
        <v>45425</v>
      </c>
      <c r="U51" s="142">
        <v>0</v>
      </c>
      <c r="V51" s="103">
        <v>815746</v>
      </c>
      <c r="W51" s="105">
        <v>0.6</v>
      </c>
      <c r="X51" s="104">
        <v>14406305</v>
      </c>
      <c r="Y51" s="105">
        <v>11.1</v>
      </c>
      <c r="Z51" s="104">
        <v>13652029</v>
      </c>
      <c r="AA51" s="104">
        <v>750826</v>
      </c>
      <c r="AB51" s="106">
        <v>3450</v>
      </c>
      <c r="AC51" s="106">
        <v>40658</v>
      </c>
      <c r="AD51" s="105">
        <v>0.1</v>
      </c>
      <c r="AE51" s="106">
        <v>573637</v>
      </c>
      <c r="AF51" s="142">
        <v>0.4</v>
      </c>
      <c r="AG51" s="145">
        <v>1914452</v>
      </c>
      <c r="AH51" s="403">
        <v>1.5</v>
      </c>
      <c r="AI51" s="397">
        <v>669008</v>
      </c>
      <c r="AJ51" s="403">
        <v>0.5</v>
      </c>
      <c r="AK51" s="397">
        <v>24875012</v>
      </c>
      <c r="AL51" s="742">
        <v>19.2</v>
      </c>
      <c r="AM51" s="907">
        <v>3107</v>
      </c>
      <c r="AN51" s="758">
        <v>0.1</v>
      </c>
      <c r="AO51" s="908">
        <v>8514238</v>
      </c>
      <c r="AP51" s="760">
        <v>6.6</v>
      </c>
      <c r="AQ51" s="757">
        <v>151055</v>
      </c>
      <c r="AR51" s="760">
        <v>0.1</v>
      </c>
      <c r="AS51" s="907">
        <v>248680</v>
      </c>
      <c r="AT51" s="760">
        <v>0.2</v>
      </c>
      <c r="AU51" s="907">
        <v>413259</v>
      </c>
      <c r="AV51" s="758">
        <v>0.3</v>
      </c>
      <c r="AW51" s="145">
        <v>361971</v>
      </c>
      <c r="AX51" s="403">
        <v>0.3</v>
      </c>
      <c r="AY51" s="397">
        <v>2846549</v>
      </c>
      <c r="AZ51" s="403">
        <v>2.2000000000000002</v>
      </c>
      <c r="BA51" s="397">
        <v>12977800</v>
      </c>
      <c r="BB51" s="904">
        <v>10</v>
      </c>
      <c r="BC51" s="740">
        <v>129638575</v>
      </c>
      <c r="BD51" s="741">
        <v>100</v>
      </c>
      <c r="BE51" s="659"/>
    </row>
    <row r="52" spans="1:57" s="38" customFormat="1" ht="15.75" customHeight="1" x14ac:dyDescent="0.2">
      <c r="A52" s="121" t="s">
        <v>201</v>
      </c>
      <c r="B52" s="193">
        <v>59459575</v>
      </c>
      <c r="C52" s="161">
        <v>37.1</v>
      </c>
      <c r="D52" s="438">
        <v>851111</v>
      </c>
      <c r="E52" s="161">
        <v>0.5</v>
      </c>
      <c r="F52" s="438">
        <v>70935</v>
      </c>
      <c r="G52" s="161">
        <v>0.1</v>
      </c>
      <c r="H52" s="438">
        <v>328571</v>
      </c>
      <c r="I52" s="161">
        <v>0.2</v>
      </c>
      <c r="J52" s="438">
        <v>172262</v>
      </c>
      <c r="K52" s="747">
        <v>0.1</v>
      </c>
      <c r="L52" s="193">
        <v>6483752</v>
      </c>
      <c r="M52" s="161">
        <v>4</v>
      </c>
      <c r="N52" s="438">
        <v>15737</v>
      </c>
      <c r="O52" s="161">
        <v>0</v>
      </c>
      <c r="P52" s="467" t="s">
        <v>143</v>
      </c>
      <c r="Q52" s="161" t="s">
        <v>143</v>
      </c>
      <c r="R52" s="467">
        <v>108954</v>
      </c>
      <c r="S52" s="161">
        <v>0.1</v>
      </c>
      <c r="T52" s="163">
        <v>29960</v>
      </c>
      <c r="U52" s="164">
        <v>0</v>
      </c>
      <c r="V52" s="186">
        <v>744878</v>
      </c>
      <c r="W52" s="162">
        <v>0.5</v>
      </c>
      <c r="X52" s="187">
        <v>11758163</v>
      </c>
      <c r="Y52" s="162">
        <v>7.3</v>
      </c>
      <c r="Z52" s="187">
        <v>11039120</v>
      </c>
      <c r="AA52" s="187">
        <v>719043</v>
      </c>
      <c r="AB52" s="163" t="s">
        <v>143</v>
      </c>
      <c r="AC52" s="163">
        <v>45445</v>
      </c>
      <c r="AD52" s="162">
        <v>0</v>
      </c>
      <c r="AE52" s="163">
        <v>533748</v>
      </c>
      <c r="AF52" s="164">
        <v>0.3</v>
      </c>
      <c r="AG52" s="193">
        <v>1843689</v>
      </c>
      <c r="AH52" s="161">
        <v>1.2</v>
      </c>
      <c r="AI52" s="438">
        <v>750383</v>
      </c>
      <c r="AJ52" s="161">
        <v>0.5</v>
      </c>
      <c r="AK52" s="438">
        <v>37897689</v>
      </c>
      <c r="AL52" s="221">
        <v>23.6</v>
      </c>
      <c r="AM52" s="909" t="s">
        <v>143</v>
      </c>
      <c r="AN52" s="929" t="s">
        <v>143</v>
      </c>
      <c r="AO52" s="912">
        <v>11481537</v>
      </c>
      <c r="AP52" s="913">
        <v>7.2</v>
      </c>
      <c r="AQ52" s="925">
        <v>396744</v>
      </c>
      <c r="AR52" s="913">
        <v>0.3</v>
      </c>
      <c r="AS52" s="909">
        <v>328201</v>
      </c>
      <c r="AT52" s="913">
        <v>0.2</v>
      </c>
      <c r="AU52" s="909">
        <v>3541036</v>
      </c>
      <c r="AV52" s="929">
        <v>2.2000000000000002</v>
      </c>
      <c r="AW52" s="193">
        <v>1313149</v>
      </c>
      <c r="AX52" s="161">
        <v>0.8</v>
      </c>
      <c r="AY52" s="438">
        <v>2410744</v>
      </c>
      <c r="AZ52" s="161">
        <v>1.5</v>
      </c>
      <c r="BA52" s="438">
        <v>19782300</v>
      </c>
      <c r="BB52" s="930">
        <v>12.3</v>
      </c>
      <c r="BC52" s="524">
        <v>160348563</v>
      </c>
      <c r="BD52" s="745">
        <v>100</v>
      </c>
      <c r="BE52" s="659"/>
    </row>
    <row r="53" spans="1:57" s="38" customFormat="1" ht="15.75" customHeight="1" x14ac:dyDescent="0.2">
      <c r="A53" s="169" t="s">
        <v>202</v>
      </c>
      <c r="B53" s="145">
        <v>23873499</v>
      </c>
      <c r="C53" s="403">
        <v>22.9</v>
      </c>
      <c r="D53" s="397">
        <v>640905</v>
      </c>
      <c r="E53" s="403">
        <v>0.6</v>
      </c>
      <c r="F53" s="397">
        <v>27173</v>
      </c>
      <c r="G53" s="403">
        <v>0</v>
      </c>
      <c r="H53" s="397">
        <v>96157</v>
      </c>
      <c r="I53" s="403">
        <v>0.1</v>
      </c>
      <c r="J53" s="397">
        <v>67304</v>
      </c>
      <c r="K53" s="741">
        <v>0.1</v>
      </c>
      <c r="L53" s="145">
        <v>3448259</v>
      </c>
      <c r="M53" s="403">
        <v>3.3</v>
      </c>
      <c r="N53" s="397">
        <v>16918</v>
      </c>
      <c r="O53" s="403">
        <v>0</v>
      </c>
      <c r="P53" s="401" t="s">
        <v>143</v>
      </c>
      <c r="Q53" s="403" t="s">
        <v>143</v>
      </c>
      <c r="R53" s="401">
        <v>84661</v>
      </c>
      <c r="S53" s="403">
        <v>0.1</v>
      </c>
      <c r="T53" s="106">
        <v>19110</v>
      </c>
      <c r="U53" s="142">
        <v>0</v>
      </c>
      <c r="V53" s="103">
        <v>418374</v>
      </c>
      <c r="W53" s="105">
        <v>0.4</v>
      </c>
      <c r="X53" s="104">
        <v>23411882</v>
      </c>
      <c r="Y53" s="105">
        <v>22.4</v>
      </c>
      <c r="Z53" s="104">
        <v>21165844</v>
      </c>
      <c r="AA53" s="104">
        <v>2246038</v>
      </c>
      <c r="AB53" s="106" t="s">
        <v>143</v>
      </c>
      <c r="AC53" s="106">
        <v>20524</v>
      </c>
      <c r="AD53" s="105">
        <v>0</v>
      </c>
      <c r="AE53" s="106">
        <v>822433</v>
      </c>
      <c r="AF53" s="142">
        <v>0.8</v>
      </c>
      <c r="AG53" s="145">
        <v>903863</v>
      </c>
      <c r="AH53" s="403">
        <v>0.9</v>
      </c>
      <c r="AI53" s="397">
        <v>778253</v>
      </c>
      <c r="AJ53" s="403">
        <v>0.8</v>
      </c>
      <c r="AK53" s="397">
        <v>13569437</v>
      </c>
      <c r="AL53" s="742">
        <v>13</v>
      </c>
      <c r="AM53" s="907" t="s">
        <v>143</v>
      </c>
      <c r="AN53" s="758" t="s">
        <v>143</v>
      </c>
      <c r="AO53" s="908">
        <v>6780304</v>
      </c>
      <c r="AP53" s="760">
        <v>6.5</v>
      </c>
      <c r="AQ53" s="757">
        <v>121390</v>
      </c>
      <c r="AR53" s="760">
        <v>0.1</v>
      </c>
      <c r="AS53" s="907">
        <v>393494</v>
      </c>
      <c r="AT53" s="760">
        <v>0.4</v>
      </c>
      <c r="AU53" s="907">
        <v>2103999</v>
      </c>
      <c r="AV53" s="758">
        <v>2</v>
      </c>
      <c r="AW53" s="145">
        <v>2545906</v>
      </c>
      <c r="AX53" s="403">
        <v>2.4</v>
      </c>
      <c r="AY53" s="397">
        <v>9467013</v>
      </c>
      <c r="AZ53" s="403">
        <v>9.1</v>
      </c>
      <c r="BA53" s="397">
        <v>14706305</v>
      </c>
      <c r="BB53" s="904">
        <v>14.1</v>
      </c>
      <c r="BC53" s="740">
        <v>104317163</v>
      </c>
      <c r="BD53" s="741">
        <v>99.999999999999972</v>
      </c>
      <c r="BE53" s="659"/>
    </row>
    <row r="54" spans="1:57" s="38" customFormat="1" ht="15.75" customHeight="1" x14ac:dyDescent="0.2">
      <c r="A54" s="121" t="s">
        <v>203</v>
      </c>
      <c r="B54" s="135">
        <v>29182348</v>
      </c>
      <c r="C54" s="423">
        <v>28.6</v>
      </c>
      <c r="D54" s="420">
        <v>750683</v>
      </c>
      <c r="E54" s="423">
        <v>0.7</v>
      </c>
      <c r="F54" s="420">
        <v>34246</v>
      </c>
      <c r="G54" s="423">
        <v>0</v>
      </c>
      <c r="H54" s="420">
        <v>95564</v>
      </c>
      <c r="I54" s="423">
        <v>0.1</v>
      </c>
      <c r="J54" s="420">
        <v>46236</v>
      </c>
      <c r="K54" s="745">
        <v>0</v>
      </c>
      <c r="L54" s="135">
        <v>3674134</v>
      </c>
      <c r="M54" s="423">
        <v>3.6</v>
      </c>
      <c r="N54" s="420">
        <v>8392</v>
      </c>
      <c r="O54" s="423">
        <v>0</v>
      </c>
      <c r="P54" s="421">
        <v>0</v>
      </c>
      <c r="Q54" s="423">
        <v>0</v>
      </c>
      <c r="R54" s="421">
        <v>67734</v>
      </c>
      <c r="S54" s="423">
        <v>0.1</v>
      </c>
      <c r="T54" s="125">
        <v>16310</v>
      </c>
      <c r="U54" s="132">
        <v>0</v>
      </c>
      <c r="V54" s="122">
        <v>494711</v>
      </c>
      <c r="W54" s="124">
        <v>0.5</v>
      </c>
      <c r="X54" s="123">
        <v>21929024</v>
      </c>
      <c r="Y54" s="124">
        <v>21.5</v>
      </c>
      <c r="Z54" s="123">
        <v>19650341</v>
      </c>
      <c r="AA54" s="123">
        <v>2278683</v>
      </c>
      <c r="AB54" s="125">
        <v>0</v>
      </c>
      <c r="AC54" s="125">
        <v>32536</v>
      </c>
      <c r="AD54" s="124">
        <v>0</v>
      </c>
      <c r="AE54" s="125">
        <v>811270</v>
      </c>
      <c r="AF54" s="132">
        <v>0.8</v>
      </c>
      <c r="AG54" s="135">
        <v>1596191</v>
      </c>
      <c r="AH54" s="423">
        <v>1.6</v>
      </c>
      <c r="AI54" s="420">
        <v>1156851</v>
      </c>
      <c r="AJ54" s="423">
        <v>1.1000000000000001</v>
      </c>
      <c r="AK54" s="420">
        <v>17952004</v>
      </c>
      <c r="AL54" s="746">
        <v>17.600000000000001</v>
      </c>
      <c r="AM54" s="905">
        <v>11883</v>
      </c>
      <c r="AN54" s="753">
        <v>0</v>
      </c>
      <c r="AO54" s="752">
        <v>6915830</v>
      </c>
      <c r="AP54" s="756">
        <v>6.8</v>
      </c>
      <c r="AQ54" s="927">
        <v>904869</v>
      </c>
      <c r="AR54" s="756">
        <v>0.9</v>
      </c>
      <c r="AS54" s="905">
        <v>110583</v>
      </c>
      <c r="AT54" s="756">
        <v>0.1</v>
      </c>
      <c r="AU54" s="905">
        <v>1170281</v>
      </c>
      <c r="AV54" s="753">
        <v>1.2</v>
      </c>
      <c r="AW54" s="135">
        <v>1690354</v>
      </c>
      <c r="AX54" s="423">
        <v>1.7</v>
      </c>
      <c r="AY54" s="420">
        <v>3548488</v>
      </c>
      <c r="AZ54" s="423">
        <v>3.5</v>
      </c>
      <c r="BA54" s="420">
        <v>9808600</v>
      </c>
      <c r="BB54" s="906">
        <v>9.6</v>
      </c>
      <c r="BC54" s="744">
        <v>102009122</v>
      </c>
      <c r="BD54" s="745">
        <v>100</v>
      </c>
      <c r="BE54" s="659"/>
    </row>
    <row r="55" spans="1:57" s="38" customFormat="1" ht="15.75" customHeight="1" x14ac:dyDescent="0.2">
      <c r="A55" s="169" t="s">
        <v>204</v>
      </c>
      <c r="B55" s="145">
        <v>84732337</v>
      </c>
      <c r="C55" s="403">
        <v>39.9</v>
      </c>
      <c r="D55" s="397">
        <v>1870514</v>
      </c>
      <c r="E55" s="403">
        <v>0.9</v>
      </c>
      <c r="F55" s="397">
        <v>72316</v>
      </c>
      <c r="G55" s="403">
        <v>0</v>
      </c>
      <c r="H55" s="397">
        <v>297336</v>
      </c>
      <c r="I55" s="403">
        <v>0.1</v>
      </c>
      <c r="J55" s="397">
        <v>181429</v>
      </c>
      <c r="K55" s="741">
        <v>0.1</v>
      </c>
      <c r="L55" s="145">
        <v>8376333</v>
      </c>
      <c r="M55" s="403">
        <v>3.9</v>
      </c>
      <c r="N55" s="397">
        <v>43844</v>
      </c>
      <c r="O55" s="403">
        <v>0</v>
      </c>
      <c r="P55" s="401" t="s">
        <v>143</v>
      </c>
      <c r="Q55" s="403" t="s">
        <v>143</v>
      </c>
      <c r="R55" s="401">
        <v>189458</v>
      </c>
      <c r="S55" s="403">
        <v>0.1</v>
      </c>
      <c r="T55" s="106">
        <v>53466</v>
      </c>
      <c r="U55" s="142">
        <v>0</v>
      </c>
      <c r="V55" s="103">
        <v>1401333</v>
      </c>
      <c r="W55" s="105">
        <v>0.7</v>
      </c>
      <c r="X55" s="104">
        <v>13065536</v>
      </c>
      <c r="Y55" s="105">
        <v>6.2</v>
      </c>
      <c r="Z55" s="104">
        <v>10846787</v>
      </c>
      <c r="AA55" s="104">
        <v>2218685</v>
      </c>
      <c r="AB55" s="106">
        <v>64</v>
      </c>
      <c r="AC55" s="106">
        <v>69998</v>
      </c>
      <c r="AD55" s="105">
        <v>0</v>
      </c>
      <c r="AE55" s="106">
        <v>2245945</v>
      </c>
      <c r="AF55" s="142">
        <v>1.1000000000000001</v>
      </c>
      <c r="AG55" s="145">
        <v>1767267</v>
      </c>
      <c r="AH55" s="403">
        <v>0.8</v>
      </c>
      <c r="AI55" s="397">
        <v>1129179</v>
      </c>
      <c r="AJ55" s="403">
        <v>0.5</v>
      </c>
      <c r="AK55" s="397">
        <v>39959880</v>
      </c>
      <c r="AL55" s="742">
        <v>18.8</v>
      </c>
      <c r="AM55" s="907" t="s">
        <v>143</v>
      </c>
      <c r="AN55" s="758" t="s">
        <v>143</v>
      </c>
      <c r="AO55" s="908">
        <v>13768027</v>
      </c>
      <c r="AP55" s="760">
        <v>6.5</v>
      </c>
      <c r="AQ55" s="757">
        <v>1329341</v>
      </c>
      <c r="AR55" s="760">
        <v>0.6</v>
      </c>
      <c r="AS55" s="907">
        <v>200249</v>
      </c>
      <c r="AT55" s="760">
        <v>0.1</v>
      </c>
      <c r="AU55" s="907">
        <v>2794485</v>
      </c>
      <c r="AV55" s="758">
        <v>1.3</v>
      </c>
      <c r="AW55" s="145">
        <v>8927267</v>
      </c>
      <c r="AX55" s="403">
        <v>4.2</v>
      </c>
      <c r="AY55" s="397">
        <v>5500003</v>
      </c>
      <c r="AZ55" s="403">
        <v>2.6</v>
      </c>
      <c r="BA55" s="397">
        <v>24551390</v>
      </c>
      <c r="BB55" s="904">
        <v>11.6</v>
      </c>
      <c r="BC55" s="740">
        <v>212526933</v>
      </c>
      <c r="BD55" s="741">
        <v>100</v>
      </c>
      <c r="BE55" s="659"/>
    </row>
    <row r="56" spans="1:57" s="38" customFormat="1" ht="15.75" customHeight="1" x14ac:dyDescent="0.2">
      <c r="A56" s="121" t="s">
        <v>254</v>
      </c>
      <c r="B56" s="135">
        <v>31145557</v>
      </c>
      <c r="C56" s="423">
        <v>28.5</v>
      </c>
      <c r="D56" s="420">
        <v>641199</v>
      </c>
      <c r="E56" s="423">
        <v>0.6</v>
      </c>
      <c r="F56" s="420">
        <v>32333</v>
      </c>
      <c r="G56" s="423">
        <v>0</v>
      </c>
      <c r="H56" s="420">
        <v>140169</v>
      </c>
      <c r="I56" s="423">
        <v>0.1</v>
      </c>
      <c r="J56" s="420">
        <v>73180</v>
      </c>
      <c r="K56" s="745">
        <v>0.1</v>
      </c>
      <c r="L56" s="135">
        <v>4049286</v>
      </c>
      <c r="M56" s="423">
        <v>3.7</v>
      </c>
      <c r="N56" s="420">
        <v>19170</v>
      </c>
      <c r="O56" s="423">
        <v>0</v>
      </c>
      <c r="P56" s="421" t="s">
        <v>143</v>
      </c>
      <c r="Q56" s="423" t="s">
        <v>143</v>
      </c>
      <c r="R56" s="421">
        <v>106599</v>
      </c>
      <c r="S56" s="423">
        <v>0.1</v>
      </c>
      <c r="T56" s="125">
        <v>30257</v>
      </c>
      <c r="U56" s="132">
        <v>0</v>
      </c>
      <c r="V56" s="122">
        <v>401234</v>
      </c>
      <c r="W56" s="124">
        <v>0.4</v>
      </c>
      <c r="X56" s="123">
        <v>20579228</v>
      </c>
      <c r="Y56" s="124">
        <v>18.899999999999999</v>
      </c>
      <c r="Z56" s="123">
        <v>18061977</v>
      </c>
      <c r="AA56" s="123">
        <v>2517251</v>
      </c>
      <c r="AB56" s="125" t="s">
        <v>143</v>
      </c>
      <c r="AC56" s="125">
        <v>21625</v>
      </c>
      <c r="AD56" s="124">
        <v>0</v>
      </c>
      <c r="AE56" s="125">
        <v>746107</v>
      </c>
      <c r="AF56" s="132">
        <v>0.7</v>
      </c>
      <c r="AG56" s="135">
        <v>1368517</v>
      </c>
      <c r="AH56" s="423">
        <v>1.3</v>
      </c>
      <c r="AI56" s="420">
        <v>889903</v>
      </c>
      <c r="AJ56" s="423">
        <v>0.8</v>
      </c>
      <c r="AK56" s="420">
        <v>19808173</v>
      </c>
      <c r="AL56" s="746">
        <v>18.2</v>
      </c>
      <c r="AM56" s="905">
        <v>132256</v>
      </c>
      <c r="AN56" s="753">
        <v>0.1</v>
      </c>
      <c r="AO56" s="752">
        <v>6430356</v>
      </c>
      <c r="AP56" s="756">
        <v>5.9</v>
      </c>
      <c r="AQ56" s="927">
        <v>358141</v>
      </c>
      <c r="AR56" s="756">
        <v>0.3</v>
      </c>
      <c r="AS56" s="905">
        <v>339202</v>
      </c>
      <c r="AT56" s="756">
        <v>0.3</v>
      </c>
      <c r="AU56" s="905">
        <v>1371809</v>
      </c>
      <c r="AV56" s="753">
        <v>1.3</v>
      </c>
      <c r="AW56" s="135">
        <v>3836295</v>
      </c>
      <c r="AX56" s="423">
        <v>3.5</v>
      </c>
      <c r="AY56" s="420">
        <v>5146291</v>
      </c>
      <c r="AZ56" s="423">
        <v>4.7</v>
      </c>
      <c r="BA56" s="420">
        <v>11464400</v>
      </c>
      <c r="BB56" s="906">
        <v>10.5</v>
      </c>
      <c r="BC56" s="744">
        <v>109131287</v>
      </c>
      <c r="BD56" s="745">
        <v>100</v>
      </c>
      <c r="BE56" s="659"/>
    </row>
    <row r="57" spans="1:57" s="38" customFormat="1" ht="15.75" customHeight="1" x14ac:dyDescent="0.2">
      <c r="A57" s="169" t="s">
        <v>207</v>
      </c>
      <c r="B57" s="183">
        <v>75368132</v>
      </c>
      <c r="C57" s="178">
        <v>40.200000000000003</v>
      </c>
      <c r="D57" s="456">
        <v>1546616</v>
      </c>
      <c r="E57" s="178">
        <v>0.8</v>
      </c>
      <c r="F57" s="456">
        <v>64205</v>
      </c>
      <c r="G57" s="178">
        <v>0</v>
      </c>
      <c r="H57" s="456">
        <v>278938</v>
      </c>
      <c r="I57" s="178">
        <v>0.2</v>
      </c>
      <c r="J57" s="456">
        <v>145986</v>
      </c>
      <c r="K57" s="749">
        <v>0.1</v>
      </c>
      <c r="L57" s="183">
        <v>8326871</v>
      </c>
      <c r="M57" s="178">
        <v>4.4000000000000004</v>
      </c>
      <c r="N57" s="456">
        <v>47205</v>
      </c>
      <c r="O57" s="178">
        <v>0</v>
      </c>
      <c r="P57" s="457" t="s">
        <v>143</v>
      </c>
      <c r="Q57" s="178" t="s">
        <v>143</v>
      </c>
      <c r="R57" s="457">
        <v>243536</v>
      </c>
      <c r="S57" s="178">
        <v>0.1</v>
      </c>
      <c r="T57" s="138">
        <v>69124</v>
      </c>
      <c r="U57" s="180">
        <v>0</v>
      </c>
      <c r="V57" s="139">
        <v>1309552</v>
      </c>
      <c r="W57" s="171">
        <v>0.7</v>
      </c>
      <c r="X57" s="170">
        <v>16209646</v>
      </c>
      <c r="Y57" s="171">
        <v>8.6</v>
      </c>
      <c r="Z57" s="170">
        <v>15195790</v>
      </c>
      <c r="AA57" s="170">
        <v>1013845</v>
      </c>
      <c r="AB57" s="138">
        <v>11</v>
      </c>
      <c r="AC57" s="138">
        <v>63509</v>
      </c>
      <c r="AD57" s="171">
        <v>0</v>
      </c>
      <c r="AE57" s="138">
        <v>894616</v>
      </c>
      <c r="AF57" s="180">
        <v>0.5</v>
      </c>
      <c r="AG57" s="183">
        <v>3130969</v>
      </c>
      <c r="AH57" s="178">
        <v>1.7</v>
      </c>
      <c r="AI57" s="456">
        <v>1160993</v>
      </c>
      <c r="AJ57" s="178">
        <v>0.6</v>
      </c>
      <c r="AK57" s="456">
        <v>32477858</v>
      </c>
      <c r="AL57" s="220">
        <v>17.3</v>
      </c>
      <c r="AM57" s="916" t="s">
        <v>143</v>
      </c>
      <c r="AN57" s="919" t="s">
        <v>143</v>
      </c>
      <c r="AO57" s="920">
        <v>12840683</v>
      </c>
      <c r="AP57" s="921">
        <v>6.8</v>
      </c>
      <c r="AQ57" s="922">
        <v>295525</v>
      </c>
      <c r="AR57" s="921">
        <v>0.2</v>
      </c>
      <c r="AS57" s="916">
        <v>149987</v>
      </c>
      <c r="AT57" s="921">
        <v>0.1</v>
      </c>
      <c r="AU57" s="916">
        <v>1098435</v>
      </c>
      <c r="AV57" s="919">
        <v>0.6</v>
      </c>
      <c r="AW57" s="183">
        <v>7607530</v>
      </c>
      <c r="AX57" s="178">
        <v>4.0999999999999996</v>
      </c>
      <c r="AY57" s="456">
        <v>2171011</v>
      </c>
      <c r="AZ57" s="178">
        <v>1.2</v>
      </c>
      <c r="BA57" s="456">
        <v>22176600</v>
      </c>
      <c r="BB57" s="931">
        <v>11.8</v>
      </c>
      <c r="BC57" s="748">
        <v>187677527</v>
      </c>
      <c r="BD57" s="749">
        <v>100</v>
      </c>
      <c r="BE57" s="659"/>
    </row>
    <row r="58" spans="1:57" s="38" customFormat="1" ht="15.75" customHeight="1" x14ac:dyDescent="0.2">
      <c r="A58" s="121" t="s">
        <v>209</v>
      </c>
      <c r="B58" s="193">
        <v>33373175</v>
      </c>
      <c r="C58" s="161">
        <v>27.3</v>
      </c>
      <c r="D58" s="438">
        <v>805858</v>
      </c>
      <c r="E58" s="161">
        <v>0.7</v>
      </c>
      <c r="F58" s="438">
        <v>48660</v>
      </c>
      <c r="G58" s="161">
        <v>0</v>
      </c>
      <c r="H58" s="438">
        <v>140713</v>
      </c>
      <c r="I58" s="161">
        <v>0.1</v>
      </c>
      <c r="J58" s="438">
        <v>72033</v>
      </c>
      <c r="K58" s="747">
        <v>0.1</v>
      </c>
      <c r="L58" s="193">
        <v>4573235</v>
      </c>
      <c r="M58" s="161">
        <v>3.8000000000000003</v>
      </c>
      <c r="N58" s="438">
        <v>42920</v>
      </c>
      <c r="O58" s="161">
        <v>0</v>
      </c>
      <c r="P58" s="932" t="s">
        <v>143</v>
      </c>
      <c r="Q58" s="933" t="s">
        <v>143</v>
      </c>
      <c r="R58" s="932">
        <v>136398</v>
      </c>
      <c r="S58" s="933">
        <v>0.1</v>
      </c>
      <c r="T58" s="163">
        <v>40320</v>
      </c>
      <c r="U58" s="164">
        <v>0</v>
      </c>
      <c r="V58" s="186">
        <v>551503</v>
      </c>
      <c r="W58" s="162">
        <v>0.5</v>
      </c>
      <c r="X58" s="187">
        <v>26182697</v>
      </c>
      <c r="Y58" s="162">
        <v>21.4</v>
      </c>
      <c r="Z58" s="187">
        <v>24444710</v>
      </c>
      <c r="AA58" s="187">
        <v>1737987</v>
      </c>
      <c r="AB58" s="163" t="s">
        <v>143</v>
      </c>
      <c r="AC58" s="163">
        <v>40138</v>
      </c>
      <c r="AD58" s="162">
        <v>0</v>
      </c>
      <c r="AE58" s="163">
        <v>808800</v>
      </c>
      <c r="AF58" s="164">
        <v>0.7</v>
      </c>
      <c r="AG58" s="193">
        <v>2959152</v>
      </c>
      <c r="AH58" s="161">
        <v>2.4</v>
      </c>
      <c r="AI58" s="438">
        <v>957389</v>
      </c>
      <c r="AJ58" s="161">
        <v>0.8</v>
      </c>
      <c r="AK58" s="438">
        <v>17881289</v>
      </c>
      <c r="AL58" s="221">
        <v>14.6</v>
      </c>
      <c r="AM58" s="909">
        <v>74323</v>
      </c>
      <c r="AN58" s="929">
        <v>0.1</v>
      </c>
      <c r="AO58" s="912">
        <v>7833121</v>
      </c>
      <c r="AP58" s="913">
        <v>6.4</v>
      </c>
      <c r="AQ58" s="925">
        <v>810012</v>
      </c>
      <c r="AR58" s="913">
        <v>0.7</v>
      </c>
      <c r="AS58" s="909">
        <v>293656</v>
      </c>
      <c r="AT58" s="913">
        <v>0.2</v>
      </c>
      <c r="AU58" s="909">
        <v>3247200</v>
      </c>
      <c r="AV58" s="929">
        <v>2.7</v>
      </c>
      <c r="AW58" s="193">
        <v>3804258</v>
      </c>
      <c r="AX58" s="161">
        <v>3.1</v>
      </c>
      <c r="AY58" s="438">
        <v>5584661</v>
      </c>
      <c r="AZ58" s="161">
        <v>4.5999999999999996</v>
      </c>
      <c r="BA58" s="438">
        <v>11836204</v>
      </c>
      <c r="BB58" s="930">
        <v>9.6999999999999993</v>
      </c>
      <c r="BC58" s="524">
        <v>122097715</v>
      </c>
      <c r="BD58" s="745">
        <v>99.999999999999986</v>
      </c>
      <c r="BE58" s="659"/>
    </row>
    <row r="59" spans="1:57" s="38" customFormat="1" ht="15.75" customHeight="1" x14ac:dyDescent="0.2">
      <c r="A59" s="169" t="s">
        <v>210</v>
      </c>
      <c r="B59" s="145">
        <v>65463405</v>
      </c>
      <c r="C59" s="403">
        <v>41.4</v>
      </c>
      <c r="D59" s="397">
        <v>1021819</v>
      </c>
      <c r="E59" s="403">
        <v>0.6</v>
      </c>
      <c r="F59" s="397">
        <v>92398</v>
      </c>
      <c r="G59" s="403">
        <v>0.1</v>
      </c>
      <c r="H59" s="397">
        <v>399766</v>
      </c>
      <c r="I59" s="403">
        <v>0.30000000000000004</v>
      </c>
      <c r="J59" s="397">
        <v>181896</v>
      </c>
      <c r="K59" s="741">
        <v>0.1</v>
      </c>
      <c r="L59" s="145">
        <v>7911279</v>
      </c>
      <c r="M59" s="403">
        <v>5</v>
      </c>
      <c r="N59" s="397">
        <v>26281</v>
      </c>
      <c r="O59" s="403">
        <v>0</v>
      </c>
      <c r="P59" s="401" t="s">
        <v>143</v>
      </c>
      <c r="Q59" s="403" t="s">
        <v>143</v>
      </c>
      <c r="R59" s="401">
        <v>169928</v>
      </c>
      <c r="S59" s="403">
        <v>0.1</v>
      </c>
      <c r="T59" s="106">
        <v>45482</v>
      </c>
      <c r="U59" s="142">
        <v>0</v>
      </c>
      <c r="V59" s="103">
        <v>1134908</v>
      </c>
      <c r="W59" s="105">
        <v>0.7</v>
      </c>
      <c r="X59" s="104">
        <v>16153402</v>
      </c>
      <c r="Y59" s="105">
        <v>10.199999999999999</v>
      </c>
      <c r="Z59" s="104">
        <v>14779080</v>
      </c>
      <c r="AA59" s="104">
        <v>1374322</v>
      </c>
      <c r="AB59" s="106" t="s">
        <v>143</v>
      </c>
      <c r="AC59" s="106">
        <v>74743</v>
      </c>
      <c r="AD59" s="105">
        <v>0</v>
      </c>
      <c r="AE59" s="106">
        <v>1650222</v>
      </c>
      <c r="AF59" s="142">
        <v>1</v>
      </c>
      <c r="AG59" s="145">
        <v>1910758</v>
      </c>
      <c r="AH59" s="403">
        <v>1.2000000000000002</v>
      </c>
      <c r="AI59" s="397">
        <v>1852558</v>
      </c>
      <c r="AJ59" s="403">
        <v>1.2000000000000002</v>
      </c>
      <c r="AK59" s="397">
        <v>26652669</v>
      </c>
      <c r="AL59" s="742">
        <v>16.900000000000002</v>
      </c>
      <c r="AM59" s="907">
        <v>663</v>
      </c>
      <c r="AN59" s="758">
        <v>0</v>
      </c>
      <c r="AO59" s="908">
        <v>10368823</v>
      </c>
      <c r="AP59" s="760">
        <v>6.6</v>
      </c>
      <c r="AQ59" s="757">
        <v>199446</v>
      </c>
      <c r="AR59" s="760">
        <v>0.1</v>
      </c>
      <c r="AS59" s="907">
        <v>208866</v>
      </c>
      <c r="AT59" s="760">
        <v>0.1</v>
      </c>
      <c r="AU59" s="907">
        <v>3732559</v>
      </c>
      <c r="AV59" s="758">
        <v>2.4</v>
      </c>
      <c r="AW59" s="145">
        <v>2004534</v>
      </c>
      <c r="AX59" s="403">
        <v>1.3</v>
      </c>
      <c r="AY59" s="397">
        <v>1910755</v>
      </c>
      <c r="AZ59" s="403">
        <v>1.2</v>
      </c>
      <c r="BA59" s="397">
        <v>14993248</v>
      </c>
      <c r="BB59" s="904">
        <v>9.5</v>
      </c>
      <c r="BC59" s="740">
        <v>158160408</v>
      </c>
      <c r="BD59" s="741">
        <v>100</v>
      </c>
      <c r="BE59" s="659"/>
    </row>
    <row r="60" spans="1:57" s="38" customFormat="1" ht="15.75" customHeight="1" x14ac:dyDescent="0.2">
      <c r="A60" s="121" t="s">
        <v>212</v>
      </c>
      <c r="B60" s="135">
        <v>70247131</v>
      </c>
      <c r="C60" s="423">
        <v>37.1</v>
      </c>
      <c r="D60" s="420">
        <v>1487097</v>
      </c>
      <c r="E60" s="423">
        <v>0.8</v>
      </c>
      <c r="F60" s="420">
        <v>94989</v>
      </c>
      <c r="G60" s="423">
        <v>0.1</v>
      </c>
      <c r="H60" s="420">
        <v>293210</v>
      </c>
      <c r="I60" s="423">
        <v>0.2</v>
      </c>
      <c r="J60" s="420">
        <v>172405</v>
      </c>
      <c r="K60" s="745">
        <v>0.1</v>
      </c>
      <c r="L60" s="135">
        <v>9033161</v>
      </c>
      <c r="M60" s="423">
        <v>4.8</v>
      </c>
      <c r="N60" s="420">
        <v>83301</v>
      </c>
      <c r="O60" s="423">
        <v>0</v>
      </c>
      <c r="P60" s="421" t="s">
        <v>143</v>
      </c>
      <c r="Q60" s="423" t="s">
        <v>143</v>
      </c>
      <c r="R60" s="421">
        <v>130352</v>
      </c>
      <c r="S60" s="423">
        <v>0.1</v>
      </c>
      <c r="T60" s="125">
        <v>40018</v>
      </c>
      <c r="U60" s="132">
        <v>0</v>
      </c>
      <c r="V60" s="122">
        <v>1035428</v>
      </c>
      <c r="W60" s="124">
        <v>0.6</v>
      </c>
      <c r="X60" s="123">
        <v>21258564</v>
      </c>
      <c r="Y60" s="124">
        <v>11.2</v>
      </c>
      <c r="Z60" s="123">
        <v>19439432</v>
      </c>
      <c r="AA60" s="123">
        <v>1819132</v>
      </c>
      <c r="AB60" s="125" t="s">
        <v>143</v>
      </c>
      <c r="AC60" s="125">
        <v>64655</v>
      </c>
      <c r="AD60" s="124">
        <v>0</v>
      </c>
      <c r="AE60" s="125">
        <v>642435</v>
      </c>
      <c r="AF60" s="132">
        <v>0.3</v>
      </c>
      <c r="AG60" s="135">
        <v>2360828</v>
      </c>
      <c r="AH60" s="423">
        <v>1.3</v>
      </c>
      <c r="AI60" s="420">
        <v>1008482</v>
      </c>
      <c r="AJ60" s="423">
        <v>0.5</v>
      </c>
      <c r="AK60" s="420">
        <v>40660266</v>
      </c>
      <c r="AL60" s="746">
        <v>21.5</v>
      </c>
      <c r="AM60" s="905">
        <v>2768</v>
      </c>
      <c r="AN60" s="753">
        <v>0</v>
      </c>
      <c r="AO60" s="752">
        <v>14849525</v>
      </c>
      <c r="AP60" s="756">
        <v>7.9</v>
      </c>
      <c r="AQ60" s="927">
        <v>601494</v>
      </c>
      <c r="AR60" s="756">
        <v>0.3</v>
      </c>
      <c r="AS60" s="905">
        <v>272681</v>
      </c>
      <c r="AT60" s="756">
        <v>0.1</v>
      </c>
      <c r="AU60" s="905">
        <v>2827522</v>
      </c>
      <c r="AV60" s="753">
        <v>1.5</v>
      </c>
      <c r="AW60" s="135">
        <v>4406467</v>
      </c>
      <c r="AX60" s="423">
        <v>2.2999999999999998</v>
      </c>
      <c r="AY60" s="420">
        <v>5284369</v>
      </c>
      <c r="AZ60" s="423">
        <v>2.8</v>
      </c>
      <c r="BA60" s="420">
        <v>12269200</v>
      </c>
      <c r="BB60" s="906">
        <v>6.5</v>
      </c>
      <c r="BC60" s="744">
        <v>189126348</v>
      </c>
      <c r="BD60" s="745">
        <v>100</v>
      </c>
      <c r="BE60" s="659"/>
    </row>
    <row r="61" spans="1:57" s="38" customFormat="1" ht="15.75" customHeight="1" x14ac:dyDescent="0.2">
      <c r="A61" s="169" t="s">
        <v>213</v>
      </c>
      <c r="B61" s="145">
        <v>45352689</v>
      </c>
      <c r="C61" s="403">
        <v>28.5</v>
      </c>
      <c r="D61" s="397">
        <v>822413</v>
      </c>
      <c r="E61" s="403">
        <v>0.5</v>
      </c>
      <c r="F61" s="397">
        <v>75083</v>
      </c>
      <c r="G61" s="403">
        <v>0</v>
      </c>
      <c r="H61" s="397">
        <v>168712</v>
      </c>
      <c r="I61" s="403">
        <v>0.1</v>
      </c>
      <c r="J61" s="397">
        <v>92839</v>
      </c>
      <c r="K61" s="741">
        <v>0.1</v>
      </c>
      <c r="L61" s="145">
        <v>6244401</v>
      </c>
      <c r="M61" s="403">
        <v>3.9</v>
      </c>
      <c r="N61" s="397">
        <v>10702</v>
      </c>
      <c r="O61" s="403">
        <v>0</v>
      </c>
      <c r="P61" s="401" t="s">
        <v>143</v>
      </c>
      <c r="Q61" s="403" t="s">
        <v>143</v>
      </c>
      <c r="R61" s="457">
        <v>81772</v>
      </c>
      <c r="S61" s="178">
        <v>0.1</v>
      </c>
      <c r="T61" s="138">
        <v>19987</v>
      </c>
      <c r="U61" s="142">
        <v>0</v>
      </c>
      <c r="V61" s="103">
        <v>658606</v>
      </c>
      <c r="W61" s="105">
        <v>0.4</v>
      </c>
      <c r="X61" s="104">
        <v>25144021</v>
      </c>
      <c r="Y61" s="171">
        <v>15.8</v>
      </c>
      <c r="Z61" s="104">
        <v>23256126</v>
      </c>
      <c r="AA61" s="104">
        <v>1887895</v>
      </c>
      <c r="AB61" s="106" t="s">
        <v>143</v>
      </c>
      <c r="AC61" s="106">
        <v>46358</v>
      </c>
      <c r="AD61" s="105">
        <v>0</v>
      </c>
      <c r="AE61" s="106">
        <v>1348744</v>
      </c>
      <c r="AF61" s="142">
        <v>0.9</v>
      </c>
      <c r="AG61" s="145">
        <v>2052716</v>
      </c>
      <c r="AH61" s="403">
        <v>1.3</v>
      </c>
      <c r="AI61" s="397">
        <v>756238</v>
      </c>
      <c r="AJ61" s="403">
        <v>0.5</v>
      </c>
      <c r="AK61" s="397">
        <v>33029890</v>
      </c>
      <c r="AL61" s="742">
        <v>20.8</v>
      </c>
      <c r="AM61" s="907" t="s">
        <v>143</v>
      </c>
      <c r="AN61" s="758" t="s">
        <v>143</v>
      </c>
      <c r="AO61" s="908">
        <v>10957403</v>
      </c>
      <c r="AP61" s="760">
        <v>6.9</v>
      </c>
      <c r="AQ61" s="757">
        <v>135771</v>
      </c>
      <c r="AR61" s="760">
        <v>0.1</v>
      </c>
      <c r="AS61" s="907">
        <v>314046</v>
      </c>
      <c r="AT61" s="760">
        <v>0.2</v>
      </c>
      <c r="AU61" s="907">
        <v>1983402</v>
      </c>
      <c r="AV61" s="758">
        <v>1.2</v>
      </c>
      <c r="AW61" s="145">
        <v>2132841</v>
      </c>
      <c r="AX61" s="403">
        <v>1.3</v>
      </c>
      <c r="AY61" s="397">
        <v>2214680</v>
      </c>
      <c r="AZ61" s="403">
        <v>1.4</v>
      </c>
      <c r="BA61" s="397">
        <v>25458500</v>
      </c>
      <c r="BB61" s="904">
        <v>16</v>
      </c>
      <c r="BC61" s="748">
        <v>159101814</v>
      </c>
      <c r="BD61" s="749">
        <v>100</v>
      </c>
      <c r="BE61" s="659"/>
    </row>
    <row r="62" spans="1:57" s="38" customFormat="1" ht="15.75" customHeight="1" x14ac:dyDescent="0.2">
      <c r="A62" s="121" t="s">
        <v>215</v>
      </c>
      <c r="B62" s="135">
        <v>41896255</v>
      </c>
      <c r="C62" s="423">
        <v>32.200000000000003</v>
      </c>
      <c r="D62" s="420">
        <v>845201</v>
      </c>
      <c r="E62" s="423">
        <v>0.7</v>
      </c>
      <c r="F62" s="420">
        <v>25786</v>
      </c>
      <c r="G62" s="423">
        <v>0</v>
      </c>
      <c r="H62" s="420">
        <v>147694</v>
      </c>
      <c r="I62" s="423">
        <v>0.1</v>
      </c>
      <c r="J62" s="420">
        <v>90055</v>
      </c>
      <c r="K62" s="745">
        <v>0.1</v>
      </c>
      <c r="L62" s="135">
        <v>5369963</v>
      </c>
      <c r="M62" s="423">
        <v>4.0999999999999996</v>
      </c>
      <c r="N62" s="420">
        <v>7273</v>
      </c>
      <c r="O62" s="423">
        <v>0</v>
      </c>
      <c r="P62" s="421" t="s">
        <v>143</v>
      </c>
      <c r="Q62" s="423" t="s">
        <v>143</v>
      </c>
      <c r="R62" s="421">
        <v>162467</v>
      </c>
      <c r="S62" s="423">
        <v>0.1</v>
      </c>
      <c r="T62" s="125">
        <v>49889</v>
      </c>
      <c r="U62" s="132">
        <v>0</v>
      </c>
      <c r="V62" s="122">
        <v>670921</v>
      </c>
      <c r="W62" s="124">
        <v>0.5</v>
      </c>
      <c r="X62" s="123">
        <v>19131305</v>
      </c>
      <c r="Y62" s="124">
        <v>14.7</v>
      </c>
      <c r="Z62" s="123">
        <v>17902634</v>
      </c>
      <c r="AA62" s="123">
        <v>1228648</v>
      </c>
      <c r="AB62" s="125">
        <v>23</v>
      </c>
      <c r="AC62" s="125">
        <v>62093</v>
      </c>
      <c r="AD62" s="124">
        <v>0.1</v>
      </c>
      <c r="AE62" s="125">
        <v>1205347</v>
      </c>
      <c r="AF62" s="132">
        <v>0.9</v>
      </c>
      <c r="AG62" s="135">
        <v>1420176</v>
      </c>
      <c r="AH62" s="423">
        <v>1.1000000000000001</v>
      </c>
      <c r="AI62" s="420">
        <v>1183788</v>
      </c>
      <c r="AJ62" s="423">
        <v>0.9</v>
      </c>
      <c r="AK62" s="420">
        <v>25636662</v>
      </c>
      <c r="AL62" s="746">
        <v>19.7</v>
      </c>
      <c r="AM62" s="905">
        <v>112167</v>
      </c>
      <c r="AN62" s="753">
        <v>0.1</v>
      </c>
      <c r="AO62" s="752">
        <v>10862537</v>
      </c>
      <c r="AP62" s="756">
        <v>8.4</v>
      </c>
      <c r="AQ62" s="927">
        <v>269327</v>
      </c>
      <c r="AR62" s="756">
        <v>0.2</v>
      </c>
      <c r="AS62" s="905">
        <v>939286</v>
      </c>
      <c r="AT62" s="756">
        <v>0.7</v>
      </c>
      <c r="AU62" s="905">
        <v>4891176</v>
      </c>
      <c r="AV62" s="753">
        <v>3.8</v>
      </c>
      <c r="AW62" s="135">
        <v>1407700</v>
      </c>
      <c r="AX62" s="423">
        <v>1.1000000000000001</v>
      </c>
      <c r="AY62" s="420">
        <v>3692214</v>
      </c>
      <c r="AZ62" s="423">
        <v>2.8</v>
      </c>
      <c r="BA62" s="420">
        <v>10020367</v>
      </c>
      <c r="BB62" s="906">
        <v>7.7</v>
      </c>
      <c r="BC62" s="744">
        <v>130099649</v>
      </c>
      <c r="BD62" s="745">
        <v>100</v>
      </c>
      <c r="BE62" s="659"/>
    </row>
    <row r="63" spans="1:57" s="38" customFormat="1" ht="15.75" customHeight="1" x14ac:dyDescent="0.2">
      <c r="A63" s="169" t="s">
        <v>216</v>
      </c>
      <c r="B63" s="434">
        <v>55383112</v>
      </c>
      <c r="C63" s="403">
        <v>25.4</v>
      </c>
      <c r="D63" s="397">
        <v>984623</v>
      </c>
      <c r="E63" s="403">
        <v>0.5</v>
      </c>
      <c r="F63" s="397">
        <v>31056</v>
      </c>
      <c r="G63" s="403">
        <v>0</v>
      </c>
      <c r="H63" s="397">
        <v>141152</v>
      </c>
      <c r="I63" s="403">
        <v>0.1</v>
      </c>
      <c r="J63" s="397">
        <v>77203</v>
      </c>
      <c r="K63" s="741">
        <v>0</v>
      </c>
      <c r="L63" s="145">
        <v>7958996</v>
      </c>
      <c r="M63" s="403">
        <v>3.6</v>
      </c>
      <c r="N63" s="397">
        <v>50631</v>
      </c>
      <c r="O63" s="403">
        <v>0</v>
      </c>
      <c r="P63" s="401">
        <v>0</v>
      </c>
      <c r="Q63" s="403">
        <v>0</v>
      </c>
      <c r="R63" s="401">
        <v>100951</v>
      </c>
      <c r="S63" s="403">
        <v>0</v>
      </c>
      <c r="T63" s="106">
        <v>21966</v>
      </c>
      <c r="U63" s="142">
        <v>0</v>
      </c>
      <c r="V63" s="103">
        <v>658618</v>
      </c>
      <c r="W63" s="105">
        <v>0.3</v>
      </c>
      <c r="X63" s="414">
        <v>35298256</v>
      </c>
      <c r="Y63" s="105">
        <v>16.2</v>
      </c>
      <c r="Z63" s="106">
        <v>33662426</v>
      </c>
      <c r="AA63" s="106">
        <v>1635830</v>
      </c>
      <c r="AB63" s="106">
        <v>0</v>
      </c>
      <c r="AC63" s="106">
        <v>56221</v>
      </c>
      <c r="AD63" s="105">
        <v>0</v>
      </c>
      <c r="AE63" s="106">
        <v>1895630</v>
      </c>
      <c r="AF63" s="142">
        <v>0.9</v>
      </c>
      <c r="AG63" s="145">
        <v>3499242</v>
      </c>
      <c r="AH63" s="403">
        <v>1.6</v>
      </c>
      <c r="AI63" s="397">
        <v>760452</v>
      </c>
      <c r="AJ63" s="403">
        <v>0.3</v>
      </c>
      <c r="AK63" s="397">
        <v>56773654</v>
      </c>
      <c r="AL63" s="403">
        <v>26</v>
      </c>
      <c r="AM63" s="907">
        <v>300</v>
      </c>
      <c r="AN63" s="758">
        <v>0</v>
      </c>
      <c r="AO63" s="934">
        <v>12718989</v>
      </c>
      <c r="AP63" s="760">
        <v>5.8</v>
      </c>
      <c r="AQ63" s="907">
        <v>606969</v>
      </c>
      <c r="AR63" s="760">
        <v>0.3</v>
      </c>
      <c r="AS63" s="907">
        <v>721070</v>
      </c>
      <c r="AT63" s="760">
        <v>0.3</v>
      </c>
      <c r="AU63" s="907">
        <v>4990647</v>
      </c>
      <c r="AV63" s="758">
        <v>2.2999999999999998</v>
      </c>
      <c r="AW63" s="145">
        <v>3311818</v>
      </c>
      <c r="AX63" s="403">
        <v>1.5</v>
      </c>
      <c r="AY63" s="397">
        <v>6157956</v>
      </c>
      <c r="AZ63" s="403">
        <v>2.8</v>
      </c>
      <c r="BA63" s="397">
        <v>26177092</v>
      </c>
      <c r="BB63" s="742">
        <v>12</v>
      </c>
      <c r="BC63" s="935">
        <v>218376604</v>
      </c>
      <c r="BD63" s="741">
        <v>100</v>
      </c>
      <c r="BE63" s="659"/>
    </row>
    <row r="64" spans="1:57" s="38" customFormat="1" ht="15.75" customHeight="1" x14ac:dyDescent="0.2">
      <c r="A64" s="121" t="s">
        <v>217</v>
      </c>
      <c r="B64" s="422">
        <v>29785825</v>
      </c>
      <c r="C64" s="423">
        <v>21.8</v>
      </c>
      <c r="D64" s="420">
        <v>730987</v>
      </c>
      <c r="E64" s="423">
        <v>0.5</v>
      </c>
      <c r="F64" s="420">
        <v>16836</v>
      </c>
      <c r="G64" s="423">
        <v>0</v>
      </c>
      <c r="H64" s="420">
        <v>77115</v>
      </c>
      <c r="I64" s="423">
        <v>0.1</v>
      </c>
      <c r="J64" s="420">
        <v>42388</v>
      </c>
      <c r="K64" s="745">
        <v>0</v>
      </c>
      <c r="L64" s="422">
        <v>4501778</v>
      </c>
      <c r="M64" s="423">
        <v>3.3</v>
      </c>
      <c r="N64" s="420">
        <v>35804</v>
      </c>
      <c r="O64" s="423">
        <v>0</v>
      </c>
      <c r="P64" s="421" t="s">
        <v>143</v>
      </c>
      <c r="Q64" s="746" t="s">
        <v>143</v>
      </c>
      <c r="R64" s="421">
        <v>74828</v>
      </c>
      <c r="S64" s="746">
        <v>0.1</v>
      </c>
      <c r="T64" s="420">
        <v>16282</v>
      </c>
      <c r="U64" s="132">
        <v>0</v>
      </c>
      <c r="V64" s="135">
        <v>422710</v>
      </c>
      <c r="W64" s="423">
        <v>0.3</v>
      </c>
      <c r="X64" s="430">
        <v>25233513</v>
      </c>
      <c r="Y64" s="124">
        <v>18.5</v>
      </c>
      <c r="Z64" s="125">
        <v>23316040</v>
      </c>
      <c r="AA64" s="125">
        <v>1917434</v>
      </c>
      <c r="AB64" s="125">
        <v>39</v>
      </c>
      <c r="AC64" s="125">
        <v>32770</v>
      </c>
      <c r="AD64" s="124">
        <v>0</v>
      </c>
      <c r="AE64" s="125">
        <v>2001374</v>
      </c>
      <c r="AF64" s="132">
        <v>1.5</v>
      </c>
      <c r="AG64" s="122">
        <v>2131238</v>
      </c>
      <c r="AH64" s="124">
        <v>1.6</v>
      </c>
      <c r="AI64" s="125">
        <v>752934</v>
      </c>
      <c r="AJ64" s="124">
        <v>0.5</v>
      </c>
      <c r="AK64" s="125">
        <v>25638800</v>
      </c>
      <c r="AL64" s="124">
        <v>18.8</v>
      </c>
      <c r="AM64" s="125">
        <v>788018</v>
      </c>
      <c r="AN64" s="132">
        <v>0.6</v>
      </c>
      <c r="AO64" s="936">
        <v>8950315</v>
      </c>
      <c r="AP64" s="756">
        <v>6.5</v>
      </c>
      <c r="AQ64" s="905">
        <v>853493</v>
      </c>
      <c r="AR64" s="756">
        <v>0.6</v>
      </c>
      <c r="AS64" s="905">
        <v>2440202</v>
      </c>
      <c r="AT64" s="756">
        <v>1.8</v>
      </c>
      <c r="AU64" s="905">
        <v>5325757</v>
      </c>
      <c r="AV64" s="753">
        <v>3.9</v>
      </c>
      <c r="AW64" s="752">
        <v>4453597</v>
      </c>
      <c r="AX64" s="756">
        <v>3.3</v>
      </c>
      <c r="AY64" s="905">
        <v>6172669</v>
      </c>
      <c r="AZ64" s="756">
        <v>4.5</v>
      </c>
      <c r="BA64" s="905">
        <v>16198500</v>
      </c>
      <c r="BB64" s="754">
        <v>11.8</v>
      </c>
      <c r="BC64" s="937">
        <v>136677733</v>
      </c>
      <c r="BD64" s="745">
        <v>100</v>
      </c>
      <c r="BE64" s="659"/>
    </row>
    <row r="65" spans="1:57" s="38" customFormat="1" ht="15.75" customHeight="1" x14ac:dyDescent="0.2">
      <c r="A65" s="169" t="s">
        <v>219</v>
      </c>
      <c r="B65" s="434">
        <v>79630677</v>
      </c>
      <c r="C65" s="403">
        <v>43.6</v>
      </c>
      <c r="D65" s="397">
        <v>1773718</v>
      </c>
      <c r="E65" s="403">
        <v>1</v>
      </c>
      <c r="F65" s="397">
        <v>55168</v>
      </c>
      <c r="G65" s="403">
        <v>0</v>
      </c>
      <c r="H65" s="397">
        <v>180478</v>
      </c>
      <c r="I65" s="403">
        <v>0.1</v>
      </c>
      <c r="J65" s="397">
        <v>105804</v>
      </c>
      <c r="K65" s="741">
        <v>0.1</v>
      </c>
      <c r="L65" s="145">
        <v>8592248</v>
      </c>
      <c r="M65" s="403">
        <v>4.7</v>
      </c>
      <c r="N65" s="397">
        <v>75867</v>
      </c>
      <c r="O65" s="403">
        <v>0</v>
      </c>
      <c r="P65" s="401" t="s">
        <v>143</v>
      </c>
      <c r="Q65" s="403" t="s">
        <v>143</v>
      </c>
      <c r="R65" s="401">
        <v>141732</v>
      </c>
      <c r="S65" s="403">
        <v>0.1</v>
      </c>
      <c r="T65" s="106">
        <v>37660</v>
      </c>
      <c r="U65" s="142">
        <v>0</v>
      </c>
      <c r="V65" s="103">
        <v>1053709</v>
      </c>
      <c r="W65" s="105">
        <v>0.6</v>
      </c>
      <c r="X65" s="414">
        <v>9553210</v>
      </c>
      <c r="Y65" s="105">
        <v>5.2</v>
      </c>
      <c r="Z65" s="106">
        <v>8548351</v>
      </c>
      <c r="AA65" s="106">
        <v>1004859</v>
      </c>
      <c r="AB65" s="106" t="s">
        <v>143</v>
      </c>
      <c r="AC65" s="106">
        <v>71480</v>
      </c>
      <c r="AD65" s="105">
        <v>0</v>
      </c>
      <c r="AE65" s="106">
        <v>993683</v>
      </c>
      <c r="AF65" s="142">
        <v>0.6</v>
      </c>
      <c r="AG65" s="145">
        <v>2576200</v>
      </c>
      <c r="AH65" s="403">
        <v>1.4</v>
      </c>
      <c r="AI65" s="397">
        <v>815111</v>
      </c>
      <c r="AJ65" s="403">
        <v>0.5</v>
      </c>
      <c r="AK65" s="397">
        <v>37480445</v>
      </c>
      <c r="AL65" s="403">
        <v>20.5</v>
      </c>
      <c r="AM65" s="907">
        <v>16495</v>
      </c>
      <c r="AN65" s="758">
        <v>0</v>
      </c>
      <c r="AO65" s="934">
        <v>13161503</v>
      </c>
      <c r="AP65" s="760">
        <v>7.2</v>
      </c>
      <c r="AQ65" s="907">
        <v>284981</v>
      </c>
      <c r="AR65" s="760">
        <v>0.2</v>
      </c>
      <c r="AS65" s="907">
        <v>256423</v>
      </c>
      <c r="AT65" s="760">
        <v>0.1</v>
      </c>
      <c r="AU65" s="907">
        <v>157864</v>
      </c>
      <c r="AV65" s="758">
        <v>0.1</v>
      </c>
      <c r="AW65" s="145">
        <v>4557977</v>
      </c>
      <c r="AX65" s="403">
        <v>2.5</v>
      </c>
      <c r="AY65" s="397">
        <v>4679919</v>
      </c>
      <c r="AZ65" s="403">
        <v>2.6</v>
      </c>
      <c r="BA65" s="397">
        <v>16260500</v>
      </c>
      <c r="BB65" s="742">
        <v>8.9</v>
      </c>
      <c r="BC65" s="935">
        <v>182512852</v>
      </c>
      <c r="BD65" s="741">
        <v>100</v>
      </c>
      <c r="BE65" s="659"/>
    </row>
    <row r="66" spans="1:57" s="38" customFormat="1" ht="15.75" customHeight="1" x14ac:dyDescent="0.2">
      <c r="A66" s="121" t="s">
        <v>220</v>
      </c>
      <c r="B66" s="422">
        <v>54478514</v>
      </c>
      <c r="C66" s="423">
        <v>32.700000000000003</v>
      </c>
      <c r="D66" s="420">
        <v>1259082</v>
      </c>
      <c r="E66" s="423">
        <v>0.8</v>
      </c>
      <c r="F66" s="420">
        <v>24250</v>
      </c>
      <c r="G66" s="423">
        <v>0</v>
      </c>
      <c r="H66" s="420">
        <v>128817</v>
      </c>
      <c r="I66" s="423">
        <v>0.1</v>
      </c>
      <c r="J66" s="420">
        <v>69137</v>
      </c>
      <c r="K66" s="745">
        <v>0</v>
      </c>
      <c r="L66" s="422">
        <v>7426944</v>
      </c>
      <c r="M66" s="423">
        <v>4.5</v>
      </c>
      <c r="N66" s="420">
        <v>188936</v>
      </c>
      <c r="O66" s="423">
        <v>0.1</v>
      </c>
      <c r="P66" s="421" t="s">
        <v>143</v>
      </c>
      <c r="Q66" s="746" t="s">
        <v>143</v>
      </c>
      <c r="R66" s="421">
        <v>114400</v>
      </c>
      <c r="S66" s="746">
        <v>0.1</v>
      </c>
      <c r="T66" s="420">
        <v>30650</v>
      </c>
      <c r="U66" s="132">
        <v>0</v>
      </c>
      <c r="V66" s="135">
        <v>739825</v>
      </c>
      <c r="W66" s="423">
        <v>0.4</v>
      </c>
      <c r="X66" s="430">
        <v>23705447</v>
      </c>
      <c r="Y66" s="124">
        <v>14.2</v>
      </c>
      <c r="Z66" s="125">
        <v>22242466</v>
      </c>
      <c r="AA66" s="125">
        <v>1462975</v>
      </c>
      <c r="AB66" s="125">
        <v>6</v>
      </c>
      <c r="AC66" s="125">
        <v>98036</v>
      </c>
      <c r="AD66" s="124">
        <v>0.1</v>
      </c>
      <c r="AE66" s="125">
        <v>1688360</v>
      </c>
      <c r="AF66" s="132">
        <v>1</v>
      </c>
      <c r="AG66" s="122">
        <v>2066655</v>
      </c>
      <c r="AH66" s="124">
        <v>1.2</v>
      </c>
      <c r="AI66" s="125">
        <v>1130007</v>
      </c>
      <c r="AJ66" s="124">
        <v>0.7</v>
      </c>
      <c r="AK66" s="125">
        <v>35232112</v>
      </c>
      <c r="AL66" s="124">
        <v>21.1</v>
      </c>
      <c r="AM66" s="125" t="s">
        <v>143</v>
      </c>
      <c r="AN66" s="132" t="s">
        <v>143</v>
      </c>
      <c r="AO66" s="936">
        <v>13818040</v>
      </c>
      <c r="AP66" s="756">
        <v>8.3000000000000007</v>
      </c>
      <c r="AQ66" s="905">
        <v>452995</v>
      </c>
      <c r="AR66" s="756">
        <v>0.3</v>
      </c>
      <c r="AS66" s="905">
        <v>412066</v>
      </c>
      <c r="AT66" s="756">
        <v>0.3</v>
      </c>
      <c r="AU66" s="905">
        <v>5347954</v>
      </c>
      <c r="AV66" s="753">
        <v>3.2</v>
      </c>
      <c r="AW66" s="752">
        <v>2367347</v>
      </c>
      <c r="AX66" s="756">
        <v>1.4</v>
      </c>
      <c r="AY66" s="905">
        <v>2058047</v>
      </c>
      <c r="AZ66" s="756">
        <v>1.2</v>
      </c>
      <c r="BA66" s="905">
        <v>13893467</v>
      </c>
      <c r="BB66" s="754">
        <v>8.3000000000000007</v>
      </c>
      <c r="BC66" s="937">
        <v>166731088</v>
      </c>
      <c r="BD66" s="745">
        <v>100</v>
      </c>
      <c r="BE66" s="659"/>
    </row>
    <row r="67" spans="1:57" s="38" customFormat="1" ht="15.75" customHeight="1" x14ac:dyDescent="0.2">
      <c r="A67" s="169" t="s">
        <v>221</v>
      </c>
      <c r="B67" s="434">
        <v>88762480</v>
      </c>
      <c r="C67" s="403">
        <v>33.299999999999997</v>
      </c>
      <c r="D67" s="397">
        <v>1814168</v>
      </c>
      <c r="E67" s="403">
        <v>0.7</v>
      </c>
      <c r="F67" s="397">
        <v>56270</v>
      </c>
      <c r="G67" s="403">
        <v>0</v>
      </c>
      <c r="H67" s="397">
        <v>171676</v>
      </c>
      <c r="I67" s="403">
        <v>0.1</v>
      </c>
      <c r="J67" s="397">
        <v>98536</v>
      </c>
      <c r="K67" s="741">
        <v>0</v>
      </c>
      <c r="L67" s="434">
        <v>10895293</v>
      </c>
      <c r="M67" s="403">
        <v>4.0999999999999996</v>
      </c>
      <c r="N67" s="397">
        <v>57031</v>
      </c>
      <c r="O67" s="403">
        <v>0</v>
      </c>
      <c r="P67" s="401" t="s">
        <v>143</v>
      </c>
      <c r="Q67" s="397" t="s">
        <v>143</v>
      </c>
      <c r="R67" s="401">
        <v>126235</v>
      </c>
      <c r="S67" s="403">
        <v>0</v>
      </c>
      <c r="T67" s="106">
        <v>35425</v>
      </c>
      <c r="U67" s="142">
        <v>0</v>
      </c>
      <c r="V67" s="145">
        <v>1218956</v>
      </c>
      <c r="W67" s="403">
        <v>0.5</v>
      </c>
      <c r="X67" s="104">
        <v>31775156</v>
      </c>
      <c r="Y67" s="105">
        <v>11.9</v>
      </c>
      <c r="Z67" s="106">
        <v>29317228</v>
      </c>
      <c r="AA67" s="106">
        <v>2457928</v>
      </c>
      <c r="AB67" s="106" t="s">
        <v>143</v>
      </c>
      <c r="AC67" s="106">
        <v>108644</v>
      </c>
      <c r="AD67" s="105">
        <v>0</v>
      </c>
      <c r="AE67" s="106">
        <v>2036516</v>
      </c>
      <c r="AF67" s="142">
        <v>0.8</v>
      </c>
      <c r="AG67" s="103">
        <v>4830694</v>
      </c>
      <c r="AH67" s="105">
        <v>1.8</v>
      </c>
      <c r="AI67" s="106">
        <v>1116674</v>
      </c>
      <c r="AJ67" s="105">
        <v>0.4</v>
      </c>
      <c r="AK67" s="106">
        <v>59527469</v>
      </c>
      <c r="AL67" s="105">
        <v>22.3</v>
      </c>
      <c r="AM67" s="106" t="s">
        <v>143</v>
      </c>
      <c r="AN67" s="142" t="s">
        <v>143</v>
      </c>
      <c r="AO67" s="934">
        <v>20169362</v>
      </c>
      <c r="AP67" s="760">
        <v>7.6</v>
      </c>
      <c r="AQ67" s="907">
        <v>635179</v>
      </c>
      <c r="AR67" s="760">
        <v>0.30000000000000004</v>
      </c>
      <c r="AS67" s="907">
        <v>580027</v>
      </c>
      <c r="AT67" s="938">
        <v>0.2</v>
      </c>
      <c r="AU67" s="907">
        <v>9938158</v>
      </c>
      <c r="AV67" s="758">
        <v>3.7</v>
      </c>
      <c r="AW67" s="908">
        <v>7536068</v>
      </c>
      <c r="AX67" s="760">
        <v>2.8</v>
      </c>
      <c r="AY67" s="907">
        <v>2948997</v>
      </c>
      <c r="AZ67" s="760">
        <v>1.1000000000000001</v>
      </c>
      <c r="BA67" s="907">
        <v>22232100</v>
      </c>
      <c r="BB67" s="759">
        <v>8.4</v>
      </c>
      <c r="BC67" s="939">
        <v>266671114</v>
      </c>
      <c r="BD67" s="741">
        <v>99.999999999999986</v>
      </c>
      <c r="BE67" s="659"/>
    </row>
    <row r="68" spans="1:57" s="38" customFormat="1" ht="15.75" customHeight="1" thickBot="1" x14ac:dyDescent="0.25">
      <c r="A68" s="121" t="s">
        <v>223</v>
      </c>
      <c r="B68" s="135">
        <v>50272612</v>
      </c>
      <c r="C68" s="423">
        <v>31.7</v>
      </c>
      <c r="D68" s="420">
        <v>755323</v>
      </c>
      <c r="E68" s="423">
        <v>0.5</v>
      </c>
      <c r="F68" s="420">
        <v>20154</v>
      </c>
      <c r="G68" s="423">
        <v>0</v>
      </c>
      <c r="H68" s="420">
        <v>71311</v>
      </c>
      <c r="I68" s="423">
        <v>0</v>
      </c>
      <c r="J68" s="420">
        <v>50123</v>
      </c>
      <c r="K68" s="745">
        <v>0</v>
      </c>
      <c r="L68" s="135">
        <v>5861917</v>
      </c>
      <c r="M68" s="423">
        <v>3.7</v>
      </c>
      <c r="N68" s="420">
        <v>0</v>
      </c>
      <c r="O68" s="423">
        <v>0</v>
      </c>
      <c r="P68" s="421">
        <v>0</v>
      </c>
      <c r="Q68" s="423">
        <v>0</v>
      </c>
      <c r="R68" s="421">
        <v>80457</v>
      </c>
      <c r="S68" s="423">
        <v>0.1</v>
      </c>
      <c r="T68" s="125">
        <v>15862</v>
      </c>
      <c r="U68" s="132">
        <v>0</v>
      </c>
      <c r="V68" s="122">
        <v>562711</v>
      </c>
      <c r="W68" s="124">
        <v>0.4</v>
      </c>
      <c r="X68" s="123">
        <v>9896086</v>
      </c>
      <c r="Y68" s="124">
        <v>6.2</v>
      </c>
      <c r="Z68" s="123">
        <v>9163867</v>
      </c>
      <c r="AA68" s="123">
        <v>732219</v>
      </c>
      <c r="AB68" s="125">
        <v>0</v>
      </c>
      <c r="AC68" s="125">
        <v>38277</v>
      </c>
      <c r="AD68" s="124">
        <v>0</v>
      </c>
      <c r="AE68" s="125">
        <v>1111674</v>
      </c>
      <c r="AF68" s="132">
        <v>0.7</v>
      </c>
      <c r="AG68" s="135">
        <v>2696494</v>
      </c>
      <c r="AH68" s="423">
        <v>1.7</v>
      </c>
      <c r="AI68" s="420">
        <v>702628</v>
      </c>
      <c r="AJ68" s="423">
        <v>0.4</v>
      </c>
      <c r="AK68" s="420">
        <v>43839463</v>
      </c>
      <c r="AL68" s="124">
        <v>27.7</v>
      </c>
      <c r="AM68" s="905">
        <v>289872</v>
      </c>
      <c r="AN68" s="132">
        <v>0.2</v>
      </c>
      <c r="AO68" s="936">
        <v>17394036</v>
      </c>
      <c r="AP68" s="756">
        <v>11</v>
      </c>
      <c r="AQ68" s="905">
        <v>1103040</v>
      </c>
      <c r="AR68" s="756">
        <v>0.7</v>
      </c>
      <c r="AS68" s="905">
        <v>1786195</v>
      </c>
      <c r="AT68" s="756">
        <v>1.1000000000000001</v>
      </c>
      <c r="AU68" s="905">
        <v>3823077</v>
      </c>
      <c r="AV68" s="753">
        <v>2.4</v>
      </c>
      <c r="AW68" s="135">
        <v>5997870</v>
      </c>
      <c r="AX68" s="423">
        <v>3.8</v>
      </c>
      <c r="AY68" s="420">
        <v>1708589</v>
      </c>
      <c r="AZ68" s="423">
        <v>1.1000000000000001</v>
      </c>
      <c r="BA68" s="420">
        <v>10383100</v>
      </c>
      <c r="BB68" s="754">
        <v>6.6</v>
      </c>
      <c r="BC68" s="937">
        <v>158460871</v>
      </c>
      <c r="BD68" s="745">
        <v>100</v>
      </c>
      <c r="BE68" s="659"/>
    </row>
    <row r="69" spans="1:57" ht="15.75" customHeight="1" thickTop="1" x14ac:dyDescent="0.2">
      <c r="A69" s="239" t="s">
        <v>224</v>
      </c>
      <c r="B69" s="313">
        <f>SUM(B7:B68)</f>
        <v>3616967080</v>
      </c>
      <c r="C69" s="314" t="s">
        <v>139</v>
      </c>
      <c r="D69" s="315">
        <f t="shared" ref="D69:V69" si="0">SUM(D7:D68)</f>
        <v>61595763</v>
      </c>
      <c r="E69" s="314" t="s">
        <v>139</v>
      </c>
      <c r="F69" s="315">
        <f t="shared" si="0"/>
        <v>3302688</v>
      </c>
      <c r="G69" s="314" t="s">
        <v>139</v>
      </c>
      <c r="H69" s="315">
        <f t="shared" si="0"/>
        <v>16397120</v>
      </c>
      <c r="I69" s="314" t="s">
        <v>139</v>
      </c>
      <c r="J69" s="315">
        <f t="shared" si="0"/>
        <v>9350170</v>
      </c>
      <c r="K69" s="529" t="s">
        <v>139</v>
      </c>
      <c r="L69" s="313">
        <f t="shared" si="0"/>
        <v>406763952</v>
      </c>
      <c r="M69" s="314" t="s">
        <v>139</v>
      </c>
      <c r="N69" s="315">
        <f t="shared" si="0"/>
        <v>2975051</v>
      </c>
      <c r="O69" s="314" t="s">
        <v>139</v>
      </c>
      <c r="P69" s="315">
        <f t="shared" si="0"/>
        <v>0</v>
      </c>
      <c r="Q69" s="314" t="s">
        <v>139</v>
      </c>
      <c r="R69" s="315">
        <f t="shared" ref="R69" si="1">SUM(R7:R68)</f>
        <v>9828494</v>
      </c>
      <c r="S69" s="314" t="s">
        <v>139</v>
      </c>
      <c r="T69" s="315">
        <f t="shared" si="0"/>
        <v>2845736</v>
      </c>
      <c r="U69" s="317" t="s">
        <v>139</v>
      </c>
      <c r="V69" s="940">
        <f t="shared" si="0"/>
        <v>53364997</v>
      </c>
      <c r="W69" s="314" t="s">
        <v>139</v>
      </c>
      <c r="X69" s="941">
        <f>SUM(X7:X68)</f>
        <v>875221260</v>
      </c>
      <c r="Y69" s="533" t="s">
        <v>139</v>
      </c>
      <c r="Z69" s="942">
        <f t="shared" ref="Z69:AM69" si="2">SUM(Z7:Z68)</f>
        <v>780358375</v>
      </c>
      <c r="AA69" s="942">
        <f t="shared" si="2"/>
        <v>75928347</v>
      </c>
      <c r="AB69" s="942">
        <f t="shared" si="2"/>
        <v>19116538</v>
      </c>
      <c r="AC69" s="942">
        <f t="shared" si="2"/>
        <v>3296070</v>
      </c>
      <c r="AD69" s="533" t="s">
        <v>139</v>
      </c>
      <c r="AE69" s="942">
        <f t="shared" si="2"/>
        <v>66020265</v>
      </c>
      <c r="AF69" s="534" t="s">
        <v>139</v>
      </c>
      <c r="AG69" s="943">
        <f t="shared" si="2"/>
        <v>137473326</v>
      </c>
      <c r="AH69" s="533" t="s">
        <v>139</v>
      </c>
      <c r="AI69" s="942">
        <f t="shared" si="2"/>
        <v>53450055</v>
      </c>
      <c r="AJ69" s="533" t="s">
        <v>139</v>
      </c>
      <c r="AK69" s="942">
        <f t="shared" si="2"/>
        <v>1733594778</v>
      </c>
      <c r="AL69" s="533" t="s">
        <v>139</v>
      </c>
      <c r="AM69" s="942">
        <f t="shared" si="2"/>
        <v>5437983</v>
      </c>
      <c r="AN69" s="944" t="s">
        <v>139</v>
      </c>
      <c r="AO69" s="812">
        <f>SUM(AO7:AO68)</f>
        <v>672722136</v>
      </c>
      <c r="AP69" s="763" t="s">
        <v>139</v>
      </c>
      <c r="AQ69" s="813">
        <f t="shared" ref="AQ69:BC69" si="3">SUM(AQ7:AQ68)</f>
        <v>52002660</v>
      </c>
      <c r="AR69" s="763" t="s">
        <v>139</v>
      </c>
      <c r="AS69" s="813">
        <f t="shared" si="3"/>
        <v>25839193</v>
      </c>
      <c r="AT69" s="763" t="s">
        <v>139</v>
      </c>
      <c r="AU69" s="813">
        <f t="shared" si="3"/>
        <v>221836893</v>
      </c>
      <c r="AV69" s="764" t="s">
        <v>139</v>
      </c>
      <c r="AW69" s="812">
        <f t="shared" si="3"/>
        <v>217048393</v>
      </c>
      <c r="AX69" s="763" t="s">
        <v>139</v>
      </c>
      <c r="AY69" s="813">
        <f t="shared" si="3"/>
        <v>290404557</v>
      </c>
      <c r="AZ69" s="763" t="s">
        <v>139</v>
      </c>
      <c r="BA69" s="813">
        <f t="shared" si="3"/>
        <v>836693397</v>
      </c>
      <c r="BB69" s="762" t="s">
        <v>139</v>
      </c>
      <c r="BC69" s="945">
        <f t="shared" si="3"/>
        <v>9374467376</v>
      </c>
      <c r="BD69" s="764" t="s">
        <v>139</v>
      </c>
    </row>
    <row r="70" spans="1:57" ht="15.75" customHeight="1" thickBot="1" x14ac:dyDescent="0.25">
      <c r="A70" s="261" t="s">
        <v>225</v>
      </c>
      <c r="B70" s="541">
        <f>AVERAGE(B7:B68)</f>
        <v>58338178.709677421</v>
      </c>
      <c r="C70" s="542">
        <f t="shared" ref="C70:W70" si="4">AVERAGE(C7:C68)</f>
        <v>38.175806451612907</v>
      </c>
      <c r="D70" s="543">
        <f t="shared" si="4"/>
        <v>993480.04838709673</v>
      </c>
      <c r="E70" s="542">
        <f t="shared" si="4"/>
        <v>0.66774193548387095</v>
      </c>
      <c r="F70" s="543">
        <f t="shared" si="4"/>
        <v>53269.161290322583</v>
      </c>
      <c r="G70" s="542">
        <f t="shared" si="4"/>
        <v>1.9725806451612905E-2</v>
      </c>
      <c r="H70" s="543">
        <f t="shared" si="4"/>
        <v>264469.67741935485</v>
      </c>
      <c r="I70" s="542">
        <f t="shared" si="4"/>
        <v>0.17903225806451606</v>
      </c>
      <c r="J70" s="543">
        <f t="shared" si="4"/>
        <v>150809.19354838709</v>
      </c>
      <c r="K70" s="946">
        <f t="shared" si="4"/>
        <v>9.6774193548387039E-2</v>
      </c>
      <c r="L70" s="541">
        <f t="shared" si="4"/>
        <v>6560708.9032258065</v>
      </c>
      <c r="M70" s="542">
        <f t="shared" si="4"/>
        <v>4.361290322580647</v>
      </c>
      <c r="N70" s="543">
        <f t="shared" si="4"/>
        <v>55093.537037037036</v>
      </c>
      <c r="O70" s="542">
        <f t="shared" si="4"/>
        <v>2.5000000000000001E-2</v>
      </c>
      <c r="P70" s="543">
        <f t="shared" si="4"/>
        <v>0</v>
      </c>
      <c r="Q70" s="542">
        <f t="shared" si="4"/>
        <v>0</v>
      </c>
      <c r="R70" s="543">
        <f t="shared" si="4"/>
        <v>158524.09677419355</v>
      </c>
      <c r="S70" s="542">
        <f t="shared" si="4"/>
        <v>0.10806451612903212</v>
      </c>
      <c r="T70" s="543">
        <f t="shared" si="4"/>
        <v>45898.967741935485</v>
      </c>
      <c r="U70" s="947">
        <f t="shared" si="4"/>
        <v>1.1774193548387097E-2</v>
      </c>
      <c r="V70" s="948">
        <f t="shared" si="4"/>
        <v>860725.75806451612</v>
      </c>
      <c r="W70" s="542">
        <f t="shared" si="4"/>
        <v>0.57741935483870943</v>
      </c>
      <c r="X70" s="949">
        <f>AVERAGE(X7:X68)</f>
        <v>14116471.935483871</v>
      </c>
      <c r="Y70" s="264">
        <f t="shared" ref="Y70:AN70" si="5">AVERAGE(Y7:Y68)</f>
        <v>9.8919354838709701</v>
      </c>
      <c r="Z70" s="263">
        <f t="shared" si="5"/>
        <v>12792760.245901639</v>
      </c>
      <c r="AA70" s="263">
        <f t="shared" si="5"/>
        <v>1224650.7580645161</v>
      </c>
      <c r="AB70" s="263">
        <f t="shared" si="5"/>
        <v>434466.77272727271</v>
      </c>
      <c r="AC70" s="263">
        <f t="shared" si="5"/>
        <v>53162.419354838712</v>
      </c>
      <c r="AD70" s="264">
        <f t="shared" si="5"/>
        <v>1.4999999999999999E-2</v>
      </c>
      <c r="AE70" s="263">
        <f t="shared" si="5"/>
        <v>1064842.9838709678</v>
      </c>
      <c r="AF70" s="270">
        <f t="shared" si="5"/>
        <v>0.71451612903225814</v>
      </c>
      <c r="AG70" s="262">
        <f t="shared" si="5"/>
        <v>2217311.7096774192</v>
      </c>
      <c r="AH70" s="264">
        <f t="shared" si="5"/>
        <v>1.4435483870967742</v>
      </c>
      <c r="AI70" s="263">
        <f t="shared" si="5"/>
        <v>862097.66129032255</v>
      </c>
      <c r="AJ70" s="264">
        <f t="shared" si="5"/>
        <v>0.57419354838709658</v>
      </c>
      <c r="AK70" s="263">
        <f t="shared" si="5"/>
        <v>27961206.096774194</v>
      </c>
      <c r="AL70" s="264">
        <f t="shared" si="5"/>
        <v>18.285483870967738</v>
      </c>
      <c r="AM70" s="263">
        <f t="shared" si="5"/>
        <v>129475.78571428571</v>
      </c>
      <c r="AN70" s="274">
        <f t="shared" si="5"/>
        <v>9.048333333333336E-2</v>
      </c>
      <c r="AO70" s="950">
        <f>AVERAGE(AO7:AO68)</f>
        <v>10850357.032258065</v>
      </c>
      <c r="AP70" s="951">
        <f t="shared" ref="AP70:BC70" si="6">AVERAGE(AP7:AP68)</f>
        <v>7.2532258064516109</v>
      </c>
      <c r="AQ70" s="952">
        <f t="shared" si="6"/>
        <v>838752.58064516133</v>
      </c>
      <c r="AR70" s="951">
        <f t="shared" si="6"/>
        <v>0.55483870967741944</v>
      </c>
      <c r="AS70" s="952">
        <f t="shared" si="6"/>
        <v>416761.17741935485</v>
      </c>
      <c r="AT70" s="951">
        <f t="shared" si="6"/>
        <v>0.29838709677419345</v>
      </c>
      <c r="AU70" s="952">
        <f t="shared" si="6"/>
        <v>3578014.4032258065</v>
      </c>
      <c r="AV70" s="953">
        <f t="shared" si="6"/>
        <v>2.351612903225806</v>
      </c>
      <c r="AW70" s="950">
        <f t="shared" si="6"/>
        <v>3500780.5322580645</v>
      </c>
      <c r="AX70" s="951">
        <f t="shared" si="6"/>
        <v>2.2629032258064523</v>
      </c>
      <c r="AY70" s="952">
        <f t="shared" si="6"/>
        <v>4683944.4677419355</v>
      </c>
      <c r="AZ70" s="951">
        <f t="shared" si="6"/>
        <v>3.1612903225806432</v>
      </c>
      <c r="BA70" s="952">
        <f t="shared" si="6"/>
        <v>13495054.790322581</v>
      </c>
      <c r="BB70" s="954">
        <f t="shared" si="6"/>
        <v>8.9177419354838694</v>
      </c>
      <c r="BC70" s="955">
        <f t="shared" si="6"/>
        <v>151201086.70967743</v>
      </c>
      <c r="BD70" s="956" t="s">
        <v>139</v>
      </c>
    </row>
    <row r="71" spans="1:57" ht="16.2" thickTop="1" x14ac:dyDescent="0.2">
      <c r="A71" s="287" t="s">
        <v>255</v>
      </c>
      <c r="B71" s="402"/>
      <c r="C71" s="957"/>
      <c r="D71" s="725"/>
      <c r="E71" s="957"/>
      <c r="F71" s="725"/>
      <c r="G71" s="957"/>
      <c r="H71" s="725"/>
      <c r="I71" s="957"/>
      <c r="J71" s="725"/>
      <c r="K71" s="957"/>
      <c r="L71" s="402"/>
      <c r="M71" s="726"/>
      <c r="N71" s="402"/>
      <c r="O71" s="726"/>
      <c r="P71" s="402"/>
      <c r="Q71" s="726"/>
      <c r="R71" s="415"/>
      <c r="S71" s="191"/>
      <c r="T71" s="415"/>
      <c r="U71" s="191"/>
      <c r="V71" s="415"/>
      <c r="W71" s="191"/>
      <c r="X71" s="958"/>
      <c r="Y71" s="959"/>
      <c r="Z71" s="402"/>
      <c r="AA71" s="402"/>
      <c r="AB71" s="958"/>
      <c r="AC71" s="958"/>
      <c r="AD71" s="959"/>
      <c r="AE71" s="958"/>
      <c r="AF71" s="191"/>
      <c r="AG71" s="725"/>
      <c r="AH71" s="957"/>
      <c r="AI71" s="725"/>
      <c r="AJ71" s="957"/>
      <c r="AK71" s="725"/>
      <c r="AL71" s="957"/>
      <c r="AM71" s="765"/>
      <c r="AN71" s="755"/>
      <c r="AO71" s="818"/>
      <c r="AP71" s="960"/>
      <c r="AQ71" s="818"/>
      <c r="AR71" s="960"/>
      <c r="AS71" s="818"/>
      <c r="AT71" s="960"/>
      <c r="AU71" s="818"/>
      <c r="AV71" s="960"/>
      <c r="AW71" s="725"/>
      <c r="AX71" s="957"/>
      <c r="AY71" s="725"/>
      <c r="AZ71" s="957"/>
      <c r="BA71" s="725"/>
      <c r="BB71" s="957"/>
      <c r="BC71" s="725"/>
      <c r="BD71" s="957"/>
    </row>
    <row r="133" spans="2:57" ht="28.5" customHeight="1" x14ac:dyDescent="0.2">
      <c r="B133" s="1761"/>
      <c r="C133" s="1761"/>
      <c r="D133" s="1761"/>
      <c r="E133" s="1761"/>
      <c r="F133" s="1761"/>
      <c r="G133" s="1761"/>
      <c r="H133" s="1761"/>
      <c r="I133" s="1761"/>
      <c r="J133" s="1761"/>
      <c r="K133" s="1761"/>
      <c r="L133" s="1575"/>
      <c r="M133" s="1575"/>
      <c r="N133" s="1575"/>
      <c r="O133" s="1575"/>
      <c r="P133" s="1575"/>
      <c r="Q133" s="1575"/>
      <c r="R133" s="1575"/>
      <c r="S133" s="1575"/>
      <c r="T133" s="1575"/>
      <c r="U133" s="1575"/>
      <c r="V133" s="1575"/>
      <c r="W133" s="1575"/>
      <c r="X133" s="1575"/>
      <c r="Y133" s="1575"/>
      <c r="Z133" s="1575"/>
      <c r="AA133" s="1575"/>
      <c r="AB133" s="1575"/>
      <c r="AC133" s="1575"/>
      <c r="AD133" s="1575"/>
      <c r="AE133" s="1575"/>
      <c r="AF133" s="1575"/>
      <c r="AG133" s="1761"/>
      <c r="AH133" s="1761"/>
      <c r="AI133" s="1761"/>
      <c r="AJ133" s="1761"/>
      <c r="AK133" s="1761"/>
      <c r="AL133" s="1761"/>
      <c r="AM133" s="1761"/>
      <c r="AN133" s="1761"/>
      <c r="AO133" s="1575"/>
      <c r="AP133" s="1575"/>
      <c r="AQ133" s="1575"/>
      <c r="AR133" s="1575"/>
      <c r="AS133" s="1575"/>
      <c r="AT133" s="1575"/>
      <c r="AU133" s="1575"/>
      <c r="AV133" s="1575"/>
      <c r="AW133" s="1575"/>
      <c r="AX133" s="1575"/>
      <c r="AY133" s="1575"/>
      <c r="AZ133" s="1575"/>
      <c r="BA133" s="1575"/>
      <c r="BB133" s="1575"/>
      <c r="BC133" s="1575"/>
      <c r="BD133" s="1575"/>
      <c r="BE133" s="1575"/>
    </row>
  </sheetData>
  <autoFilter ref="A6:BF71" xr:uid="{2C03F0A7-BABE-4A49-9713-19C6585D423E}"/>
  <mergeCells count="35">
    <mergeCell ref="AW133:BE133"/>
    <mergeCell ref="AY3:AZ4"/>
    <mergeCell ref="BA3:BB4"/>
    <mergeCell ref="BC3:BD4"/>
    <mergeCell ref="P4:Q4"/>
    <mergeCell ref="AM4:AN4"/>
    <mergeCell ref="AM3:AN3"/>
    <mergeCell ref="AO3:AP4"/>
    <mergeCell ref="AQ3:AR4"/>
    <mergeCell ref="AS3:AT4"/>
    <mergeCell ref="AU3:AV4"/>
    <mergeCell ref="AW3:AX4"/>
    <mergeCell ref="Z3:AB4"/>
    <mergeCell ref="AC3:AD4"/>
    <mergeCell ref="AE3:AF4"/>
    <mergeCell ref="AG3:AH4"/>
    <mergeCell ref="B133:K133"/>
    <mergeCell ref="L133:W133"/>
    <mergeCell ref="X133:AF133"/>
    <mergeCell ref="AG133:AN133"/>
    <mergeCell ref="AO133:AV133"/>
    <mergeCell ref="AI3:AJ4"/>
    <mergeCell ref="AK3:AL4"/>
    <mergeCell ref="N3:O4"/>
    <mergeCell ref="P3:Q3"/>
    <mergeCell ref="R3:S4"/>
    <mergeCell ref="T3:U4"/>
    <mergeCell ref="V3:W4"/>
    <mergeCell ref="X3:Y4"/>
    <mergeCell ref="L3:M4"/>
    <mergeCell ref="B3:C4"/>
    <mergeCell ref="D3:E4"/>
    <mergeCell ref="F3:G4"/>
    <mergeCell ref="H3:I4"/>
    <mergeCell ref="J3:K4"/>
  </mergeCells>
  <phoneticPr fontId="2"/>
  <dataValidations count="1">
    <dataValidation imeMode="disabled" allowBlank="1" showInputMessage="1" showErrorMessage="1" sqref="B7:Q68 R33:S33 R7:BD32 R34:BD68 AC33:BD33 V33:AA33" xr:uid="{7FCE0654-BFD1-41B0-A89C-7A32FB0D2157}"/>
  </dataValidations>
  <pageMargins left="0.74803149606299213" right="0.23622047244094491" top="1.1023622047244095" bottom="0.39370078740157483" header="0.59055118110236227" footer="0.31496062992125984"/>
  <pageSetup paperSize="9" scale="70" firstPageNumber="12" fitToWidth="0" orientation="portrait" r:id="rId1"/>
  <headerFooter alignWithMargins="0">
    <oddHeader>&amp;L&amp;"ＭＳ Ｐゴシック,太字"&amp;16ⅱ　歳入内訳（款別）
（令和元&amp;K000000年度）</oddHeader>
  </headerFooter>
  <colBreaks count="5" manualBreakCount="5">
    <brk id="11" min="2" max="70" man="1"/>
    <brk id="21" min="2" max="70" man="1"/>
    <brk id="32" min="2" max="70" man="1"/>
    <brk id="40" min="2" max="70" man="1"/>
    <brk id="48" min="2" max="7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91EA3-C7D3-408C-8ABF-805C47B3CE8B}">
  <dimension ref="A1:AF133"/>
  <sheetViews>
    <sheetView showGridLines="0" view="pageBreakPreview" zoomScale="60" zoomScaleNormal="70" workbookViewId="0">
      <pane xSplit="1" ySplit="6" topLeftCell="B7" activePane="bottomRight" state="frozen"/>
      <selection activeCell="E12" sqref="E12"/>
      <selection pane="topRight" activeCell="E12" sqref="E12"/>
      <selection pane="bottomLeft" activeCell="E12" sqref="E12"/>
      <selection pane="bottomRight" activeCell="E12" sqref="E12"/>
    </sheetView>
  </sheetViews>
  <sheetFormatPr defaultRowHeight="13.2" x14ac:dyDescent="0.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6.21875" customWidth="1"/>
    <col min="9" max="9" width="7.44140625" customWidth="1"/>
    <col min="10" max="10" width="16.21875" customWidth="1"/>
    <col min="11" max="11" width="7.44140625" customWidth="1"/>
    <col min="12" max="12" width="16.21875" customWidth="1"/>
    <col min="13" max="13" width="7.44140625" customWidth="1"/>
    <col min="14" max="14" width="16.21875" customWidth="1"/>
    <col min="15" max="15" width="7.44140625" customWidth="1"/>
    <col min="16" max="16" width="16.21875" customWidth="1"/>
    <col min="17" max="17" width="7.44140625" customWidth="1"/>
    <col min="18" max="18" width="16.21875" customWidth="1"/>
    <col min="19" max="19" width="7.44140625" customWidth="1"/>
    <col min="20" max="20" width="16.2187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15" customWidth="1"/>
    <col min="29" max="29" width="7.44140625" customWidth="1"/>
    <col min="30" max="30" width="25.88671875" customWidth="1"/>
    <col min="31" max="31" width="15" customWidth="1"/>
    <col min="32" max="32" width="11.33203125" bestFit="1" customWidth="1"/>
  </cols>
  <sheetData>
    <row r="1" spans="1:32" ht="19.2" x14ac:dyDescent="0.2">
      <c r="A1" s="52" t="s">
        <v>688</v>
      </c>
      <c r="B1" s="52"/>
      <c r="F1" s="38"/>
      <c r="G1" s="358"/>
      <c r="H1" s="358"/>
    </row>
    <row r="2" spans="1:32" ht="19.5" customHeight="1" x14ac:dyDescent="0.2">
      <c r="A2" s="832" t="s">
        <v>689</v>
      </c>
      <c r="B2" s="832"/>
    </row>
    <row r="3" spans="1:32" ht="18" customHeight="1" x14ac:dyDescent="0.2">
      <c r="A3" s="61" t="s">
        <v>390</v>
      </c>
      <c r="B3" s="1689" t="s">
        <v>690</v>
      </c>
      <c r="C3" s="1738"/>
      <c r="D3" s="1738" t="s">
        <v>691</v>
      </c>
      <c r="E3" s="1738"/>
      <c r="F3" s="1738" t="s">
        <v>692</v>
      </c>
      <c r="G3" s="1738"/>
      <c r="H3" s="1738" t="s">
        <v>693</v>
      </c>
      <c r="I3" s="1764"/>
      <c r="J3" s="1771" t="s">
        <v>694</v>
      </c>
      <c r="K3" s="1738"/>
      <c r="L3" s="1738" t="s">
        <v>695</v>
      </c>
      <c r="M3" s="1738"/>
      <c r="N3" s="1738" t="s">
        <v>696</v>
      </c>
      <c r="O3" s="1738"/>
      <c r="P3" s="1738" t="s">
        <v>697</v>
      </c>
      <c r="Q3" s="1764"/>
      <c r="R3" s="1771" t="s">
        <v>698</v>
      </c>
      <c r="S3" s="1738"/>
      <c r="T3" s="1738" t="s">
        <v>699</v>
      </c>
      <c r="U3" s="1738"/>
      <c r="V3" s="1738" t="s">
        <v>700</v>
      </c>
      <c r="W3" s="1738"/>
      <c r="X3" s="1738" t="s">
        <v>701</v>
      </c>
      <c r="Y3" s="1764"/>
      <c r="Z3" s="1771" t="s">
        <v>702</v>
      </c>
      <c r="AA3" s="1738"/>
      <c r="AB3" s="1738" t="s">
        <v>703</v>
      </c>
      <c r="AC3" s="1552"/>
      <c r="AD3" s="1775" t="s">
        <v>704</v>
      </c>
      <c r="AE3" s="1553"/>
    </row>
    <row r="4" spans="1:32" ht="18" customHeight="1" x14ac:dyDescent="0.2">
      <c r="A4" s="69"/>
      <c r="B4" s="1736"/>
      <c r="C4" s="1711"/>
      <c r="D4" s="1711"/>
      <c r="E4" s="1711"/>
      <c r="F4" s="1711"/>
      <c r="G4" s="1711"/>
      <c r="H4" s="1711"/>
      <c r="I4" s="1479"/>
      <c r="J4" s="1451"/>
      <c r="K4" s="1711"/>
      <c r="L4" s="1711"/>
      <c r="M4" s="1711"/>
      <c r="N4" s="1711"/>
      <c r="O4" s="1711"/>
      <c r="P4" s="1711"/>
      <c r="Q4" s="1479"/>
      <c r="R4" s="1451"/>
      <c r="S4" s="1711"/>
      <c r="T4" s="1711"/>
      <c r="U4" s="1711"/>
      <c r="V4" s="1711"/>
      <c r="W4" s="1711"/>
      <c r="X4" s="1711"/>
      <c r="Y4" s="1479"/>
      <c r="Z4" s="1451"/>
      <c r="AA4" s="1711"/>
      <c r="AB4" s="1711"/>
      <c r="AC4" s="1504"/>
      <c r="AD4" s="1776"/>
      <c r="AE4" s="1777"/>
    </row>
    <row r="5" spans="1:32" ht="18" customHeight="1" x14ac:dyDescent="0.2">
      <c r="A5" s="576"/>
      <c r="B5" s="68"/>
      <c r="C5" s="374" t="s">
        <v>685</v>
      </c>
      <c r="D5" s="68"/>
      <c r="E5" s="374" t="s">
        <v>685</v>
      </c>
      <c r="F5" s="68"/>
      <c r="G5" s="374" t="s">
        <v>685</v>
      </c>
      <c r="H5" s="875"/>
      <c r="I5" s="375" t="s">
        <v>685</v>
      </c>
      <c r="J5" s="295"/>
      <c r="K5" s="374" t="s">
        <v>685</v>
      </c>
      <c r="L5" s="68"/>
      <c r="M5" s="374" t="s">
        <v>685</v>
      </c>
      <c r="N5" s="68"/>
      <c r="O5" s="374" t="s">
        <v>685</v>
      </c>
      <c r="P5" s="68"/>
      <c r="Q5" s="798" t="s">
        <v>685</v>
      </c>
      <c r="R5" s="295"/>
      <c r="S5" s="374" t="s">
        <v>685</v>
      </c>
      <c r="T5" s="68"/>
      <c r="U5" s="374" t="s">
        <v>685</v>
      </c>
      <c r="V5" s="68"/>
      <c r="W5" s="374" t="s">
        <v>685</v>
      </c>
      <c r="X5" s="875"/>
      <c r="Y5" s="375" t="s">
        <v>685</v>
      </c>
      <c r="Z5" s="295"/>
      <c r="AA5" s="374" t="s">
        <v>685</v>
      </c>
      <c r="AB5" s="68"/>
      <c r="AC5" s="377" t="s">
        <v>685</v>
      </c>
      <c r="AD5" s="962"/>
      <c r="AE5" s="375" t="s">
        <v>685</v>
      </c>
    </row>
    <row r="6" spans="1:32" ht="18" customHeight="1" x14ac:dyDescent="0.2">
      <c r="A6" s="91" t="s">
        <v>414</v>
      </c>
      <c r="B6" s="92" t="s">
        <v>647</v>
      </c>
      <c r="C6" s="94" t="s">
        <v>131</v>
      </c>
      <c r="D6" s="94" t="s">
        <v>647</v>
      </c>
      <c r="E6" s="94" t="s">
        <v>131</v>
      </c>
      <c r="F6" s="94" t="s">
        <v>647</v>
      </c>
      <c r="G6" s="94" t="s">
        <v>131</v>
      </c>
      <c r="H6" s="94" t="s">
        <v>647</v>
      </c>
      <c r="I6" s="95" t="s">
        <v>131</v>
      </c>
      <c r="J6" s="92" t="s">
        <v>647</v>
      </c>
      <c r="K6" s="94" t="s">
        <v>131</v>
      </c>
      <c r="L6" s="94" t="s">
        <v>647</v>
      </c>
      <c r="M6" s="94" t="s">
        <v>131</v>
      </c>
      <c r="N6" s="94" t="s">
        <v>647</v>
      </c>
      <c r="O6" s="94" t="s">
        <v>131</v>
      </c>
      <c r="P6" s="94" t="s">
        <v>647</v>
      </c>
      <c r="Q6" s="95" t="s">
        <v>131</v>
      </c>
      <c r="R6" s="92" t="s">
        <v>647</v>
      </c>
      <c r="S6" s="94" t="s">
        <v>131</v>
      </c>
      <c r="T6" s="94" t="s">
        <v>647</v>
      </c>
      <c r="U6" s="94" t="s">
        <v>131</v>
      </c>
      <c r="V6" s="94" t="s">
        <v>647</v>
      </c>
      <c r="W6" s="94" t="s">
        <v>131</v>
      </c>
      <c r="X6" s="94" t="s">
        <v>647</v>
      </c>
      <c r="Y6" s="95" t="s">
        <v>131</v>
      </c>
      <c r="Z6" s="92" t="s">
        <v>647</v>
      </c>
      <c r="AA6" s="94" t="s">
        <v>131</v>
      </c>
      <c r="AB6" s="94" t="s">
        <v>647</v>
      </c>
      <c r="AC6" s="96" t="s">
        <v>131</v>
      </c>
      <c r="AD6" s="963" t="s">
        <v>647</v>
      </c>
      <c r="AE6" s="95" t="s">
        <v>131</v>
      </c>
    </row>
    <row r="7" spans="1:32" ht="15.75" customHeight="1" x14ac:dyDescent="0.2">
      <c r="A7" s="102" t="s">
        <v>142</v>
      </c>
      <c r="B7" s="145">
        <v>465644</v>
      </c>
      <c r="C7" s="403">
        <v>0.3</v>
      </c>
      <c r="D7" s="397">
        <v>9219088</v>
      </c>
      <c r="E7" s="403">
        <v>6.8</v>
      </c>
      <c r="F7" s="397">
        <v>60755210</v>
      </c>
      <c r="G7" s="403">
        <v>44.6</v>
      </c>
      <c r="H7" s="397">
        <v>9196976</v>
      </c>
      <c r="I7" s="743">
        <v>6.8</v>
      </c>
      <c r="J7" s="145">
        <v>149141</v>
      </c>
      <c r="K7" s="841">
        <v>0.1</v>
      </c>
      <c r="L7" s="740">
        <v>905786</v>
      </c>
      <c r="M7" s="403">
        <v>0.7</v>
      </c>
      <c r="N7" s="397">
        <v>9737316</v>
      </c>
      <c r="O7" s="403">
        <v>7.1</v>
      </c>
      <c r="P7" s="401">
        <v>12616464</v>
      </c>
      <c r="Q7" s="741">
        <v>9.3000000000000007</v>
      </c>
      <c r="R7" s="145">
        <v>3725082</v>
      </c>
      <c r="S7" s="403">
        <v>2.7</v>
      </c>
      <c r="T7" s="397">
        <v>15551107</v>
      </c>
      <c r="U7" s="403">
        <v>11.4</v>
      </c>
      <c r="V7" s="397">
        <v>108471</v>
      </c>
      <c r="W7" s="403">
        <v>0.1</v>
      </c>
      <c r="X7" s="397">
        <v>13234796</v>
      </c>
      <c r="Y7" s="743">
        <v>9.6999999999999993</v>
      </c>
      <c r="Z7" s="145">
        <v>534610</v>
      </c>
      <c r="AA7" s="403">
        <v>0.4</v>
      </c>
      <c r="AB7" s="1028" t="s">
        <v>143</v>
      </c>
      <c r="AC7" s="1129" t="s">
        <v>143</v>
      </c>
      <c r="AD7" s="1290">
        <v>136199691</v>
      </c>
      <c r="AE7" s="964">
        <v>100</v>
      </c>
      <c r="AF7" s="583"/>
    </row>
    <row r="8" spans="1:32" ht="15.75" customHeight="1" x14ac:dyDescent="0.2">
      <c r="A8" s="121" t="s">
        <v>144</v>
      </c>
      <c r="B8" s="135">
        <v>597113</v>
      </c>
      <c r="C8" s="423">
        <v>0.4</v>
      </c>
      <c r="D8" s="420">
        <v>11256987</v>
      </c>
      <c r="E8" s="423">
        <v>7.1</v>
      </c>
      <c r="F8" s="420">
        <v>73814951</v>
      </c>
      <c r="G8" s="423">
        <v>46.3</v>
      </c>
      <c r="H8" s="420">
        <v>9604891</v>
      </c>
      <c r="I8" s="745">
        <v>6</v>
      </c>
      <c r="J8" s="135">
        <v>130667</v>
      </c>
      <c r="K8" s="423">
        <v>0.1</v>
      </c>
      <c r="L8" s="420">
        <v>2183550</v>
      </c>
      <c r="M8" s="423">
        <v>1.4</v>
      </c>
      <c r="N8" s="420">
        <v>6621181</v>
      </c>
      <c r="O8" s="423">
        <v>4.0999999999999996</v>
      </c>
      <c r="P8" s="421">
        <v>19533760</v>
      </c>
      <c r="Q8" s="745">
        <v>12.2</v>
      </c>
      <c r="R8" s="135">
        <v>3996978</v>
      </c>
      <c r="S8" s="423">
        <v>2.5</v>
      </c>
      <c r="T8" s="420">
        <v>13273044</v>
      </c>
      <c r="U8" s="423">
        <v>8.3000000000000007</v>
      </c>
      <c r="V8" s="420">
        <v>164320</v>
      </c>
      <c r="W8" s="423">
        <v>0.1</v>
      </c>
      <c r="X8" s="420">
        <v>18307336</v>
      </c>
      <c r="Y8" s="745">
        <v>11.5</v>
      </c>
      <c r="Z8" s="135" t="s">
        <v>143</v>
      </c>
      <c r="AA8" s="423" t="s">
        <v>143</v>
      </c>
      <c r="AB8" s="420" t="s">
        <v>143</v>
      </c>
      <c r="AC8" s="746" t="s">
        <v>143</v>
      </c>
      <c r="AD8" s="914">
        <v>159484778</v>
      </c>
      <c r="AE8" s="965">
        <v>100</v>
      </c>
      <c r="AF8" s="583"/>
    </row>
    <row r="9" spans="1:32" ht="15.75" customHeight="1" x14ac:dyDescent="0.2">
      <c r="A9" s="102" t="s">
        <v>145</v>
      </c>
      <c r="B9" s="145">
        <v>654069</v>
      </c>
      <c r="C9" s="403">
        <v>0.5</v>
      </c>
      <c r="D9" s="397">
        <v>11201383</v>
      </c>
      <c r="E9" s="403">
        <v>8.9</v>
      </c>
      <c r="F9" s="397">
        <v>55193932</v>
      </c>
      <c r="G9" s="403">
        <v>44</v>
      </c>
      <c r="H9" s="397">
        <v>7474359</v>
      </c>
      <c r="I9" s="741">
        <v>6</v>
      </c>
      <c r="J9" s="145">
        <v>79966</v>
      </c>
      <c r="K9" s="403">
        <v>0.1</v>
      </c>
      <c r="L9" s="397">
        <v>1425084</v>
      </c>
      <c r="M9" s="403">
        <v>1.1000000000000001</v>
      </c>
      <c r="N9" s="397">
        <v>2095706</v>
      </c>
      <c r="O9" s="403">
        <v>1.7</v>
      </c>
      <c r="P9" s="401">
        <v>14751809</v>
      </c>
      <c r="Q9" s="741">
        <v>11.8</v>
      </c>
      <c r="R9" s="145">
        <v>4158777</v>
      </c>
      <c r="S9" s="403">
        <v>3.3</v>
      </c>
      <c r="T9" s="397">
        <v>11365803</v>
      </c>
      <c r="U9" s="403">
        <v>9.1</v>
      </c>
      <c r="V9" s="397">
        <v>1005758</v>
      </c>
      <c r="W9" s="403">
        <v>0.8</v>
      </c>
      <c r="X9" s="397">
        <v>15109637</v>
      </c>
      <c r="Y9" s="741">
        <v>12.1</v>
      </c>
      <c r="Z9" s="145">
        <v>798886</v>
      </c>
      <c r="AA9" s="403">
        <v>0.6</v>
      </c>
      <c r="AB9" s="397" t="s">
        <v>143</v>
      </c>
      <c r="AC9" s="742" t="s">
        <v>143</v>
      </c>
      <c r="AD9" s="935">
        <v>125315169</v>
      </c>
      <c r="AE9" s="964">
        <v>100</v>
      </c>
      <c r="AF9" s="583"/>
    </row>
    <row r="10" spans="1:32" ht="15.75" customHeight="1" x14ac:dyDescent="0.2">
      <c r="A10" s="121" t="s">
        <v>147</v>
      </c>
      <c r="B10" s="135">
        <v>570672</v>
      </c>
      <c r="C10" s="423">
        <v>0.5</v>
      </c>
      <c r="D10" s="420">
        <v>7988915</v>
      </c>
      <c r="E10" s="423">
        <v>7.5</v>
      </c>
      <c r="F10" s="420">
        <v>38398061</v>
      </c>
      <c r="G10" s="423">
        <v>35.9</v>
      </c>
      <c r="H10" s="420">
        <v>11495991</v>
      </c>
      <c r="I10" s="745">
        <v>10.8</v>
      </c>
      <c r="J10" s="135">
        <v>132555</v>
      </c>
      <c r="K10" s="423">
        <v>0.1</v>
      </c>
      <c r="L10" s="420">
        <v>2631437</v>
      </c>
      <c r="M10" s="423">
        <v>2.5</v>
      </c>
      <c r="N10" s="420">
        <v>2883054</v>
      </c>
      <c r="O10" s="423">
        <v>2.7</v>
      </c>
      <c r="P10" s="421">
        <v>18565604</v>
      </c>
      <c r="Q10" s="745">
        <v>17.399999999999999</v>
      </c>
      <c r="R10" s="135">
        <v>3029949</v>
      </c>
      <c r="S10" s="423">
        <v>2.8</v>
      </c>
      <c r="T10" s="420">
        <v>11632552</v>
      </c>
      <c r="U10" s="423">
        <v>10.9</v>
      </c>
      <c r="V10" s="420" t="s">
        <v>143</v>
      </c>
      <c r="W10" s="423" t="s">
        <v>143</v>
      </c>
      <c r="X10" s="420">
        <v>9038835</v>
      </c>
      <c r="Y10" s="745">
        <v>8.5</v>
      </c>
      <c r="Z10" s="135">
        <v>441045</v>
      </c>
      <c r="AA10" s="423">
        <v>0.4</v>
      </c>
      <c r="AB10" s="423" t="s">
        <v>143</v>
      </c>
      <c r="AC10" s="420" t="s">
        <v>143</v>
      </c>
      <c r="AD10" s="914">
        <v>106808670</v>
      </c>
      <c r="AE10" s="965">
        <v>100</v>
      </c>
      <c r="AF10" s="583"/>
    </row>
    <row r="11" spans="1:32" ht="15.75" customHeight="1" x14ac:dyDescent="0.2">
      <c r="A11" s="102" t="s">
        <v>148</v>
      </c>
      <c r="B11" s="183">
        <v>644833</v>
      </c>
      <c r="C11" s="178">
        <v>0.6</v>
      </c>
      <c r="D11" s="456">
        <v>9169394</v>
      </c>
      <c r="E11" s="178">
        <v>7.9</v>
      </c>
      <c r="F11" s="456">
        <v>46616509</v>
      </c>
      <c r="G11" s="178">
        <v>40.200000000000003</v>
      </c>
      <c r="H11" s="456">
        <v>8999319</v>
      </c>
      <c r="I11" s="749">
        <v>7.8</v>
      </c>
      <c r="J11" s="183">
        <v>709477</v>
      </c>
      <c r="K11" s="178">
        <v>0.6</v>
      </c>
      <c r="L11" s="456">
        <v>2267913</v>
      </c>
      <c r="M11" s="178">
        <v>1.9</v>
      </c>
      <c r="N11" s="456">
        <v>1790428</v>
      </c>
      <c r="O11" s="178">
        <v>1.5</v>
      </c>
      <c r="P11" s="457">
        <v>16131748</v>
      </c>
      <c r="Q11" s="749">
        <v>13.9</v>
      </c>
      <c r="R11" s="183">
        <v>4386718</v>
      </c>
      <c r="S11" s="178">
        <v>3.8</v>
      </c>
      <c r="T11" s="456">
        <v>12915477</v>
      </c>
      <c r="U11" s="178">
        <v>11.1</v>
      </c>
      <c r="V11" s="456">
        <v>9092</v>
      </c>
      <c r="W11" s="178">
        <v>0</v>
      </c>
      <c r="X11" s="456">
        <v>12357753</v>
      </c>
      <c r="Y11" s="749">
        <v>10.7</v>
      </c>
      <c r="Z11" s="183">
        <v>0</v>
      </c>
      <c r="AA11" s="178">
        <v>0</v>
      </c>
      <c r="AB11" s="178">
        <v>0</v>
      </c>
      <c r="AC11" s="457">
        <v>0</v>
      </c>
      <c r="AD11" s="923">
        <v>115998661</v>
      </c>
      <c r="AE11" s="964">
        <v>100</v>
      </c>
      <c r="AF11" s="583"/>
    </row>
    <row r="12" spans="1:32" ht="15.75" customHeight="1" x14ac:dyDescent="0.2">
      <c r="A12" s="121" t="s">
        <v>149</v>
      </c>
      <c r="B12" s="135">
        <v>681497</v>
      </c>
      <c r="C12" s="423">
        <v>0.5</v>
      </c>
      <c r="D12" s="420">
        <v>17123195</v>
      </c>
      <c r="E12" s="423">
        <v>12.7</v>
      </c>
      <c r="F12" s="420">
        <v>49132622</v>
      </c>
      <c r="G12" s="423">
        <v>36.5</v>
      </c>
      <c r="H12" s="420">
        <v>9094921</v>
      </c>
      <c r="I12" s="745">
        <v>6.8</v>
      </c>
      <c r="J12" s="135">
        <v>601383</v>
      </c>
      <c r="K12" s="423">
        <v>0.5</v>
      </c>
      <c r="L12" s="420">
        <v>2736459</v>
      </c>
      <c r="M12" s="423">
        <v>2</v>
      </c>
      <c r="N12" s="420">
        <v>9008056</v>
      </c>
      <c r="O12" s="423">
        <v>6.7</v>
      </c>
      <c r="P12" s="421">
        <v>14454629</v>
      </c>
      <c r="Q12" s="745">
        <v>10.7</v>
      </c>
      <c r="R12" s="135">
        <v>3801393</v>
      </c>
      <c r="S12" s="423">
        <v>2.8</v>
      </c>
      <c r="T12" s="420">
        <v>13524850</v>
      </c>
      <c r="U12" s="423">
        <v>10</v>
      </c>
      <c r="V12" s="420">
        <v>716284</v>
      </c>
      <c r="W12" s="423">
        <v>0.5</v>
      </c>
      <c r="X12" s="420">
        <v>13925678</v>
      </c>
      <c r="Y12" s="745">
        <v>10.3</v>
      </c>
      <c r="Z12" s="135">
        <v>3169</v>
      </c>
      <c r="AA12" s="423">
        <v>0</v>
      </c>
      <c r="AB12" s="420" t="s">
        <v>143</v>
      </c>
      <c r="AC12" s="746" t="s">
        <v>143</v>
      </c>
      <c r="AD12" s="914">
        <v>134804136</v>
      </c>
      <c r="AE12" s="965">
        <v>100</v>
      </c>
      <c r="AF12" s="583"/>
    </row>
    <row r="13" spans="1:32" ht="15.75" customHeight="1" x14ac:dyDescent="0.2">
      <c r="A13" s="169" t="s">
        <v>150</v>
      </c>
      <c r="B13" s="183">
        <v>650213</v>
      </c>
      <c r="C13" s="178">
        <v>0.7</v>
      </c>
      <c r="D13" s="456">
        <v>9961836</v>
      </c>
      <c r="E13" s="178">
        <v>10.1</v>
      </c>
      <c r="F13" s="456">
        <v>35513459</v>
      </c>
      <c r="G13" s="178">
        <v>36.200000000000003</v>
      </c>
      <c r="H13" s="456">
        <v>6315945</v>
      </c>
      <c r="I13" s="749">
        <v>6.4</v>
      </c>
      <c r="J13" s="183">
        <v>351647</v>
      </c>
      <c r="K13" s="178">
        <v>0.4</v>
      </c>
      <c r="L13" s="456">
        <v>1937623</v>
      </c>
      <c r="M13" s="178">
        <v>2</v>
      </c>
      <c r="N13" s="456">
        <v>7159703</v>
      </c>
      <c r="O13" s="178">
        <v>7.3</v>
      </c>
      <c r="P13" s="457">
        <v>12390087</v>
      </c>
      <c r="Q13" s="749">
        <v>12.6</v>
      </c>
      <c r="R13" s="183">
        <v>2857737</v>
      </c>
      <c r="S13" s="178">
        <v>2.9</v>
      </c>
      <c r="T13" s="456">
        <v>11984546</v>
      </c>
      <c r="U13" s="178">
        <v>12.2</v>
      </c>
      <c r="V13" s="456">
        <v>14698</v>
      </c>
      <c r="W13" s="178">
        <v>0</v>
      </c>
      <c r="X13" s="456">
        <v>9049651</v>
      </c>
      <c r="Y13" s="749">
        <v>0</v>
      </c>
      <c r="Z13" s="183" t="s">
        <v>143</v>
      </c>
      <c r="AA13" s="178" t="s">
        <v>143</v>
      </c>
      <c r="AB13" s="178" t="s">
        <v>143</v>
      </c>
      <c r="AC13" s="457" t="s">
        <v>143</v>
      </c>
      <c r="AD13" s="923">
        <v>98187145</v>
      </c>
      <c r="AE13" s="964">
        <v>100</v>
      </c>
      <c r="AF13" s="583"/>
    </row>
    <row r="14" spans="1:32" ht="15.75" customHeight="1" x14ac:dyDescent="0.2">
      <c r="A14" s="121" t="s">
        <v>151</v>
      </c>
      <c r="B14" s="135">
        <v>638774</v>
      </c>
      <c r="C14" s="423">
        <v>0.5</v>
      </c>
      <c r="D14" s="420">
        <v>11739786</v>
      </c>
      <c r="E14" s="423">
        <v>9.8000000000000007</v>
      </c>
      <c r="F14" s="420">
        <v>51577752</v>
      </c>
      <c r="G14" s="423">
        <v>43.1</v>
      </c>
      <c r="H14" s="420">
        <v>9726024</v>
      </c>
      <c r="I14" s="745">
        <v>8.1</v>
      </c>
      <c r="J14" s="135">
        <v>255364</v>
      </c>
      <c r="K14" s="423">
        <v>0.2</v>
      </c>
      <c r="L14" s="420">
        <v>4080745</v>
      </c>
      <c r="M14" s="423">
        <v>3.4</v>
      </c>
      <c r="N14" s="420">
        <v>5071765</v>
      </c>
      <c r="O14" s="423">
        <v>4.2</v>
      </c>
      <c r="P14" s="421">
        <v>11103556</v>
      </c>
      <c r="Q14" s="745">
        <v>9.3000000000000007</v>
      </c>
      <c r="R14" s="135">
        <v>3237474</v>
      </c>
      <c r="S14" s="423">
        <v>2.7</v>
      </c>
      <c r="T14" s="420">
        <v>13114858</v>
      </c>
      <c r="U14" s="423">
        <v>11</v>
      </c>
      <c r="V14" s="420">
        <v>896292</v>
      </c>
      <c r="W14" s="423">
        <v>0.8</v>
      </c>
      <c r="X14" s="420">
        <v>8275872</v>
      </c>
      <c r="Y14" s="745">
        <v>6.9</v>
      </c>
      <c r="Z14" s="135" t="s">
        <v>143</v>
      </c>
      <c r="AA14" s="423" t="s">
        <v>143</v>
      </c>
      <c r="AB14" s="423" t="s">
        <v>143</v>
      </c>
      <c r="AC14" s="420" t="s">
        <v>143</v>
      </c>
      <c r="AD14" s="914">
        <v>119718262</v>
      </c>
      <c r="AE14" s="965">
        <v>100</v>
      </c>
      <c r="AF14" s="583"/>
    </row>
    <row r="15" spans="1:32" ht="15.75" customHeight="1" x14ac:dyDescent="0.2">
      <c r="A15" s="169" t="s">
        <v>153</v>
      </c>
      <c r="B15" s="183">
        <v>633293</v>
      </c>
      <c r="C15" s="178">
        <v>0.5</v>
      </c>
      <c r="D15" s="456">
        <v>16639390</v>
      </c>
      <c r="E15" s="178">
        <v>12.2</v>
      </c>
      <c r="F15" s="456">
        <v>42475211</v>
      </c>
      <c r="G15" s="178">
        <v>31.2</v>
      </c>
      <c r="H15" s="456">
        <v>9702298</v>
      </c>
      <c r="I15" s="749">
        <v>7.1</v>
      </c>
      <c r="J15" s="183">
        <v>132715</v>
      </c>
      <c r="K15" s="178">
        <v>0.1</v>
      </c>
      <c r="L15" s="456">
        <v>5963386</v>
      </c>
      <c r="M15" s="178">
        <v>4.4000000000000004</v>
      </c>
      <c r="N15" s="456">
        <v>5676866</v>
      </c>
      <c r="O15" s="178">
        <v>4.2</v>
      </c>
      <c r="P15" s="457">
        <v>14796041</v>
      </c>
      <c r="Q15" s="749">
        <v>10.9</v>
      </c>
      <c r="R15" s="183">
        <v>4047849</v>
      </c>
      <c r="S15" s="178">
        <v>3</v>
      </c>
      <c r="T15" s="456">
        <v>11560989</v>
      </c>
      <c r="U15" s="178">
        <v>8.5</v>
      </c>
      <c r="V15" s="456">
        <v>14960431</v>
      </c>
      <c r="W15" s="178">
        <v>11</v>
      </c>
      <c r="X15" s="456">
        <v>9459153</v>
      </c>
      <c r="Y15" s="749">
        <v>6.9</v>
      </c>
      <c r="Z15" s="183">
        <v>0</v>
      </c>
      <c r="AA15" s="178">
        <v>0</v>
      </c>
      <c r="AB15" s="178">
        <v>0</v>
      </c>
      <c r="AC15" s="457">
        <v>0</v>
      </c>
      <c r="AD15" s="923">
        <v>136047622</v>
      </c>
      <c r="AE15" s="964">
        <v>100</v>
      </c>
      <c r="AF15" s="583"/>
    </row>
    <row r="16" spans="1:32" ht="15.75" customHeight="1" x14ac:dyDescent="0.2">
      <c r="A16" s="121" t="s">
        <v>154</v>
      </c>
      <c r="B16" s="135">
        <v>693687</v>
      </c>
      <c r="C16" s="423">
        <v>0.4</v>
      </c>
      <c r="D16" s="420">
        <v>28001903</v>
      </c>
      <c r="E16" s="423">
        <v>17.899999999999999</v>
      </c>
      <c r="F16" s="420">
        <v>54789421</v>
      </c>
      <c r="G16" s="423">
        <v>35</v>
      </c>
      <c r="H16" s="420">
        <v>12850100</v>
      </c>
      <c r="I16" s="745">
        <v>8.1999999999999993</v>
      </c>
      <c r="J16" s="135">
        <v>146010</v>
      </c>
      <c r="K16" s="423">
        <v>0.1</v>
      </c>
      <c r="L16" s="420">
        <v>3439708</v>
      </c>
      <c r="M16" s="423">
        <v>2.2000000000000002</v>
      </c>
      <c r="N16" s="420">
        <v>5040309</v>
      </c>
      <c r="O16" s="423">
        <v>3.2</v>
      </c>
      <c r="P16" s="421">
        <v>15091101</v>
      </c>
      <c r="Q16" s="745">
        <v>9.6</v>
      </c>
      <c r="R16" s="135">
        <v>4209467</v>
      </c>
      <c r="S16" s="423">
        <v>2.7</v>
      </c>
      <c r="T16" s="420">
        <v>14049899</v>
      </c>
      <c r="U16" s="423">
        <v>9</v>
      </c>
      <c r="V16" s="420">
        <v>2188903</v>
      </c>
      <c r="W16" s="423">
        <v>1.4</v>
      </c>
      <c r="X16" s="420">
        <v>16127600</v>
      </c>
      <c r="Y16" s="745">
        <v>10.3</v>
      </c>
      <c r="Z16" s="135" t="s">
        <v>143</v>
      </c>
      <c r="AA16" s="423" t="s">
        <v>143</v>
      </c>
      <c r="AB16" s="423" t="s">
        <v>143</v>
      </c>
      <c r="AC16" s="421" t="s">
        <v>143</v>
      </c>
      <c r="AD16" s="914">
        <v>156628108</v>
      </c>
      <c r="AE16" s="965">
        <v>100</v>
      </c>
      <c r="AF16" s="583"/>
    </row>
    <row r="17" spans="1:32" ht="15.75" customHeight="1" x14ac:dyDescent="0.2">
      <c r="A17" s="169" t="s">
        <v>155</v>
      </c>
      <c r="B17" s="183">
        <v>525195</v>
      </c>
      <c r="C17" s="178">
        <v>0.4</v>
      </c>
      <c r="D17" s="456">
        <v>10978777</v>
      </c>
      <c r="E17" s="178">
        <v>8.8000000000000007</v>
      </c>
      <c r="F17" s="456">
        <v>43776923</v>
      </c>
      <c r="G17" s="178">
        <v>35</v>
      </c>
      <c r="H17" s="456">
        <v>23119616</v>
      </c>
      <c r="I17" s="749">
        <v>18.5</v>
      </c>
      <c r="J17" s="183">
        <v>52091</v>
      </c>
      <c r="K17" s="178">
        <v>0.04</v>
      </c>
      <c r="L17" s="456">
        <v>2309442</v>
      </c>
      <c r="M17" s="178">
        <v>1.9000000000000001</v>
      </c>
      <c r="N17" s="456">
        <v>923981</v>
      </c>
      <c r="O17" s="178">
        <v>0.7</v>
      </c>
      <c r="P17" s="457">
        <v>17675521</v>
      </c>
      <c r="Q17" s="749">
        <v>14.1</v>
      </c>
      <c r="R17" s="183">
        <v>3496810</v>
      </c>
      <c r="S17" s="178">
        <v>2.8</v>
      </c>
      <c r="T17" s="456">
        <v>11793856</v>
      </c>
      <c r="U17" s="178">
        <v>9.4</v>
      </c>
      <c r="V17" s="456">
        <v>445808</v>
      </c>
      <c r="W17" s="178">
        <v>0.35599999999999998</v>
      </c>
      <c r="X17" s="456">
        <v>9955425</v>
      </c>
      <c r="Y17" s="749">
        <v>8</v>
      </c>
      <c r="Z17" s="183" t="s">
        <v>143</v>
      </c>
      <c r="AA17" s="178" t="s">
        <v>143</v>
      </c>
      <c r="AB17" s="178" t="s">
        <v>143</v>
      </c>
      <c r="AC17" s="457" t="s">
        <v>143</v>
      </c>
      <c r="AD17" s="923">
        <v>125053445</v>
      </c>
      <c r="AE17" s="964">
        <v>99.995999999999995</v>
      </c>
      <c r="AF17" s="583"/>
    </row>
    <row r="18" spans="1:32" ht="15.75" customHeight="1" x14ac:dyDescent="0.2">
      <c r="A18" s="121" t="s">
        <v>157</v>
      </c>
      <c r="B18" s="135">
        <v>904233</v>
      </c>
      <c r="C18" s="423">
        <v>0.4</v>
      </c>
      <c r="D18" s="420">
        <v>16152727</v>
      </c>
      <c r="E18" s="423">
        <v>7.4</v>
      </c>
      <c r="F18" s="420">
        <v>81709998</v>
      </c>
      <c r="G18" s="423">
        <v>37.4</v>
      </c>
      <c r="H18" s="420">
        <v>25527303</v>
      </c>
      <c r="I18" s="745">
        <v>11.7</v>
      </c>
      <c r="J18" s="135">
        <v>137321</v>
      </c>
      <c r="K18" s="423">
        <v>0.1</v>
      </c>
      <c r="L18" s="420">
        <v>2634110</v>
      </c>
      <c r="M18" s="423">
        <v>1.2</v>
      </c>
      <c r="N18" s="420">
        <v>13959721</v>
      </c>
      <c r="O18" s="423">
        <v>6.4</v>
      </c>
      <c r="P18" s="421">
        <v>36974541</v>
      </c>
      <c r="Q18" s="745">
        <v>16.899999999999999</v>
      </c>
      <c r="R18" s="135">
        <v>5595453</v>
      </c>
      <c r="S18" s="423">
        <v>2.5</v>
      </c>
      <c r="T18" s="420">
        <v>19293380</v>
      </c>
      <c r="U18" s="423">
        <v>8.8000000000000007</v>
      </c>
      <c r="V18" s="420">
        <v>597985</v>
      </c>
      <c r="W18" s="423">
        <v>0.3</v>
      </c>
      <c r="X18" s="420">
        <v>15083044</v>
      </c>
      <c r="Y18" s="745">
        <v>6.9</v>
      </c>
      <c r="Z18" s="135">
        <v>0</v>
      </c>
      <c r="AA18" s="423">
        <v>0</v>
      </c>
      <c r="AB18" s="423" t="s">
        <v>143</v>
      </c>
      <c r="AC18" s="421" t="s">
        <v>143</v>
      </c>
      <c r="AD18" s="914">
        <v>218569816</v>
      </c>
      <c r="AE18" s="965">
        <v>100</v>
      </c>
      <c r="AF18" s="583"/>
    </row>
    <row r="19" spans="1:32" ht="15.75" customHeight="1" x14ac:dyDescent="0.2">
      <c r="A19" s="169" t="s">
        <v>158</v>
      </c>
      <c r="B19" s="183">
        <v>631799</v>
      </c>
      <c r="C19" s="178">
        <v>0.5</v>
      </c>
      <c r="D19" s="456">
        <v>10461369</v>
      </c>
      <c r="E19" s="178">
        <v>7.5</v>
      </c>
      <c r="F19" s="456">
        <v>53248587</v>
      </c>
      <c r="G19" s="178">
        <v>38.299999999999997</v>
      </c>
      <c r="H19" s="456">
        <v>12974688</v>
      </c>
      <c r="I19" s="749">
        <v>9.3000000000000007</v>
      </c>
      <c r="J19" s="183">
        <v>444005</v>
      </c>
      <c r="K19" s="178">
        <v>0.3</v>
      </c>
      <c r="L19" s="456">
        <v>2811168</v>
      </c>
      <c r="M19" s="178">
        <v>2</v>
      </c>
      <c r="N19" s="456">
        <v>8060163</v>
      </c>
      <c r="O19" s="178">
        <v>5.8</v>
      </c>
      <c r="P19" s="457">
        <v>16652602</v>
      </c>
      <c r="Q19" s="749">
        <v>12</v>
      </c>
      <c r="R19" s="183">
        <v>5034767</v>
      </c>
      <c r="S19" s="178">
        <v>3.6</v>
      </c>
      <c r="T19" s="456">
        <v>13624284</v>
      </c>
      <c r="U19" s="178">
        <v>9.8000000000000007</v>
      </c>
      <c r="V19" s="456">
        <v>63298</v>
      </c>
      <c r="W19" s="178">
        <v>0.1</v>
      </c>
      <c r="X19" s="456">
        <v>14926358</v>
      </c>
      <c r="Y19" s="749">
        <v>10.8</v>
      </c>
      <c r="Z19" s="183">
        <v>0</v>
      </c>
      <c r="AA19" s="178">
        <v>0</v>
      </c>
      <c r="AB19" s="178">
        <v>0</v>
      </c>
      <c r="AC19" s="457">
        <v>0</v>
      </c>
      <c r="AD19" s="923">
        <v>138933088</v>
      </c>
      <c r="AE19" s="964">
        <v>100</v>
      </c>
      <c r="AF19" s="583"/>
    </row>
    <row r="20" spans="1:32" ht="15.75" customHeight="1" x14ac:dyDescent="0.2">
      <c r="A20" s="121" t="s">
        <v>159</v>
      </c>
      <c r="B20" s="135">
        <v>662223</v>
      </c>
      <c r="C20" s="423">
        <v>0.4</v>
      </c>
      <c r="D20" s="420">
        <v>23188900</v>
      </c>
      <c r="E20" s="423">
        <v>14.1</v>
      </c>
      <c r="F20" s="420">
        <v>55413888</v>
      </c>
      <c r="G20" s="423">
        <v>33.700000000000003</v>
      </c>
      <c r="H20" s="420">
        <v>9117718</v>
      </c>
      <c r="I20" s="745">
        <v>5.6</v>
      </c>
      <c r="J20" s="135">
        <v>136734</v>
      </c>
      <c r="K20" s="423">
        <v>0.1</v>
      </c>
      <c r="L20" s="420">
        <v>2795719</v>
      </c>
      <c r="M20" s="423">
        <v>1.7</v>
      </c>
      <c r="N20" s="420">
        <v>15649012</v>
      </c>
      <c r="O20" s="423">
        <v>9.5</v>
      </c>
      <c r="P20" s="421">
        <v>19615714</v>
      </c>
      <c r="Q20" s="745">
        <v>11.9</v>
      </c>
      <c r="R20" s="135">
        <v>4512731</v>
      </c>
      <c r="S20" s="423">
        <v>2.8</v>
      </c>
      <c r="T20" s="420">
        <v>19221492</v>
      </c>
      <c r="U20" s="423">
        <v>11.7</v>
      </c>
      <c r="V20" s="420">
        <v>300822</v>
      </c>
      <c r="W20" s="423">
        <v>0.2</v>
      </c>
      <c r="X20" s="420">
        <v>13605880</v>
      </c>
      <c r="Y20" s="745">
        <v>8.3000000000000007</v>
      </c>
      <c r="Z20" s="135" t="s">
        <v>143</v>
      </c>
      <c r="AA20" s="423" t="s">
        <v>143</v>
      </c>
      <c r="AB20" s="423" t="s">
        <v>143</v>
      </c>
      <c r="AC20" s="421" t="s">
        <v>143</v>
      </c>
      <c r="AD20" s="914">
        <v>164220833</v>
      </c>
      <c r="AE20" s="965">
        <v>100.00000000000001</v>
      </c>
      <c r="AF20" s="583"/>
    </row>
    <row r="21" spans="1:32" ht="15.75" customHeight="1" x14ac:dyDescent="0.2">
      <c r="A21" s="169" t="s">
        <v>163</v>
      </c>
      <c r="B21" s="145">
        <v>633371</v>
      </c>
      <c r="C21" s="403">
        <v>0.6</v>
      </c>
      <c r="D21" s="397">
        <v>10068715</v>
      </c>
      <c r="E21" s="403">
        <v>9.1999999999999993</v>
      </c>
      <c r="F21" s="397">
        <v>49768135</v>
      </c>
      <c r="G21" s="403">
        <v>45.6</v>
      </c>
      <c r="H21" s="397">
        <v>8854406</v>
      </c>
      <c r="I21" s="741">
        <v>8.1</v>
      </c>
      <c r="J21" s="145">
        <v>160553</v>
      </c>
      <c r="K21" s="403">
        <v>0.2</v>
      </c>
      <c r="L21" s="397">
        <v>748495</v>
      </c>
      <c r="M21" s="403">
        <v>0.7</v>
      </c>
      <c r="N21" s="397">
        <v>1072100</v>
      </c>
      <c r="O21" s="403">
        <v>1</v>
      </c>
      <c r="P21" s="401">
        <v>9255748</v>
      </c>
      <c r="Q21" s="741">
        <v>8.5</v>
      </c>
      <c r="R21" s="145">
        <v>5020309</v>
      </c>
      <c r="S21" s="403">
        <v>4.5999999999999996</v>
      </c>
      <c r="T21" s="397">
        <v>13021567</v>
      </c>
      <c r="U21" s="403">
        <v>11.9</v>
      </c>
      <c r="V21" s="397">
        <v>54295</v>
      </c>
      <c r="W21" s="403">
        <v>0</v>
      </c>
      <c r="X21" s="397">
        <v>10437087</v>
      </c>
      <c r="Y21" s="741">
        <v>9.6</v>
      </c>
      <c r="Z21" s="145">
        <v>0</v>
      </c>
      <c r="AA21" s="403">
        <v>0</v>
      </c>
      <c r="AB21" s="403" t="s">
        <v>143</v>
      </c>
      <c r="AC21" s="742" t="s">
        <v>143</v>
      </c>
      <c r="AD21" s="935">
        <v>109094781</v>
      </c>
      <c r="AE21" s="964">
        <v>100</v>
      </c>
      <c r="AF21" s="583"/>
    </row>
    <row r="22" spans="1:32" ht="15.75" customHeight="1" x14ac:dyDescent="0.2">
      <c r="A22" s="121" t="s">
        <v>166</v>
      </c>
      <c r="B22" s="135">
        <v>872073</v>
      </c>
      <c r="C22" s="423">
        <v>0.4</v>
      </c>
      <c r="D22" s="420">
        <v>23003548</v>
      </c>
      <c r="E22" s="423">
        <v>11.3</v>
      </c>
      <c r="F22" s="420">
        <v>91059395</v>
      </c>
      <c r="G22" s="423">
        <v>44.6</v>
      </c>
      <c r="H22" s="420">
        <v>16690622</v>
      </c>
      <c r="I22" s="745">
        <v>8.1999999999999993</v>
      </c>
      <c r="J22" s="135">
        <v>378817</v>
      </c>
      <c r="K22" s="423">
        <v>0.2</v>
      </c>
      <c r="L22" s="420">
        <v>944953</v>
      </c>
      <c r="M22" s="423">
        <v>0.5</v>
      </c>
      <c r="N22" s="420">
        <v>813476</v>
      </c>
      <c r="O22" s="423">
        <v>0.4</v>
      </c>
      <c r="P22" s="421">
        <v>24469222</v>
      </c>
      <c r="Q22" s="745">
        <v>12</v>
      </c>
      <c r="R22" s="135">
        <v>6146851</v>
      </c>
      <c r="S22" s="423">
        <v>3</v>
      </c>
      <c r="T22" s="420">
        <v>25043548</v>
      </c>
      <c r="U22" s="423">
        <v>12.3</v>
      </c>
      <c r="V22" s="420" t="s">
        <v>143</v>
      </c>
      <c r="W22" s="423" t="s">
        <v>143</v>
      </c>
      <c r="X22" s="420">
        <v>14442256</v>
      </c>
      <c r="Y22" s="745">
        <v>7.1</v>
      </c>
      <c r="Z22" s="135">
        <v>0</v>
      </c>
      <c r="AA22" s="423">
        <v>0</v>
      </c>
      <c r="AB22" s="420" t="s">
        <v>143</v>
      </c>
      <c r="AC22" s="746" t="s">
        <v>143</v>
      </c>
      <c r="AD22" s="914">
        <f>SUBTOTAL(9,B22,D22,F22,H22,J22,L22,N22,P22,R22,T22,V22,X22,Z22,AB22)</f>
        <v>203864761</v>
      </c>
      <c r="AE22" s="965">
        <f>SUBTOTAL(9,C22,E22,G22,I22,K22,M22,O22,Q22,S22,U22,W22,Y22,AA22,AC22)</f>
        <v>100</v>
      </c>
      <c r="AF22" s="583"/>
    </row>
    <row r="23" spans="1:32" ht="15.75" customHeight="1" x14ac:dyDescent="0.2">
      <c r="A23" s="169" t="s">
        <v>167</v>
      </c>
      <c r="B23" s="145">
        <v>527599</v>
      </c>
      <c r="C23" s="403">
        <v>0.5</v>
      </c>
      <c r="D23" s="397">
        <v>13023984</v>
      </c>
      <c r="E23" s="403">
        <v>12.7</v>
      </c>
      <c r="F23" s="397">
        <v>46347733</v>
      </c>
      <c r="G23" s="403">
        <v>45.3</v>
      </c>
      <c r="H23" s="397">
        <v>9668377</v>
      </c>
      <c r="I23" s="741">
        <v>9.4</v>
      </c>
      <c r="J23" s="145">
        <v>55170</v>
      </c>
      <c r="K23" s="403">
        <v>0.1</v>
      </c>
      <c r="L23" s="397">
        <v>513722</v>
      </c>
      <c r="M23" s="403">
        <v>0.5</v>
      </c>
      <c r="N23" s="397">
        <v>456695</v>
      </c>
      <c r="O23" s="403">
        <v>0.5</v>
      </c>
      <c r="P23" s="401">
        <v>10274969</v>
      </c>
      <c r="Q23" s="741">
        <v>10</v>
      </c>
      <c r="R23" s="145">
        <v>3521870</v>
      </c>
      <c r="S23" s="403">
        <v>3.4</v>
      </c>
      <c r="T23" s="397">
        <v>9794342</v>
      </c>
      <c r="U23" s="403">
        <v>9.6</v>
      </c>
      <c r="V23" s="397" t="s">
        <v>143</v>
      </c>
      <c r="W23" s="403" t="s">
        <v>143</v>
      </c>
      <c r="X23" s="397">
        <v>8259478</v>
      </c>
      <c r="Y23" s="741">
        <v>8</v>
      </c>
      <c r="Z23" s="145" t="s">
        <v>143</v>
      </c>
      <c r="AA23" s="403" t="s">
        <v>143</v>
      </c>
      <c r="AB23" s="397" t="s">
        <v>143</v>
      </c>
      <c r="AC23" s="742" t="s">
        <v>143</v>
      </c>
      <c r="AD23" s="935">
        <v>102443939</v>
      </c>
      <c r="AE23" s="964">
        <v>100</v>
      </c>
      <c r="AF23" s="583"/>
    </row>
    <row r="24" spans="1:32" ht="15.75" customHeight="1" x14ac:dyDescent="0.2">
      <c r="A24" s="121" t="s">
        <v>168</v>
      </c>
      <c r="B24" s="135">
        <v>951684</v>
      </c>
      <c r="C24" s="423">
        <v>0.5</v>
      </c>
      <c r="D24" s="420">
        <v>15220183</v>
      </c>
      <c r="E24" s="423">
        <v>7.3</v>
      </c>
      <c r="F24" s="420">
        <v>92815965</v>
      </c>
      <c r="G24" s="423">
        <v>44.5</v>
      </c>
      <c r="H24" s="420">
        <v>29269246</v>
      </c>
      <c r="I24" s="745">
        <v>14</v>
      </c>
      <c r="J24" s="135">
        <v>172968</v>
      </c>
      <c r="K24" s="423">
        <v>0.1</v>
      </c>
      <c r="L24" s="420">
        <v>527218</v>
      </c>
      <c r="M24" s="423">
        <v>0.3</v>
      </c>
      <c r="N24" s="420">
        <v>4035351</v>
      </c>
      <c r="O24" s="423">
        <v>1.9</v>
      </c>
      <c r="P24" s="421">
        <v>19577614</v>
      </c>
      <c r="Q24" s="745">
        <v>9.4</v>
      </c>
      <c r="R24" s="135">
        <v>6942907</v>
      </c>
      <c r="S24" s="423">
        <v>3.3</v>
      </c>
      <c r="T24" s="420">
        <v>24469178</v>
      </c>
      <c r="U24" s="423">
        <v>11.7</v>
      </c>
      <c r="V24" s="420">
        <v>0</v>
      </c>
      <c r="W24" s="423">
        <v>0</v>
      </c>
      <c r="X24" s="420">
        <v>14461411</v>
      </c>
      <c r="Y24" s="745">
        <v>6.9</v>
      </c>
      <c r="Z24" s="135">
        <v>0</v>
      </c>
      <c r="AA24" s="423">
        <v>0</v>
      </c>
      <c r="AB24" s="420">
        <v>0</v>
      </c>
      <c r="AC24" s="746">
        <v>0</v>
      </c>
      <c r="AD24" s="914">
        <v>208443725</v>
      </c>
      <c r="AE24" s="965">
        <v>100</v>
      </c>
      <c r="AF24" s="583"/>
    </row>
    <row r="25" spans="1:32" ht="15.75" customHeight="1" x14ac:dyDescent="0.2">
      <c r="A25" s="169" t="s">
        <v>171</v>
      </c>
      <c r="B25" s="145">
        <v>655018</v>
      </c>
      <c r="C25" s="403">
        <v>0.5</v>
      </c>
      <c r="D25" s="397">
        <v>9418199</v>
      </c>
      <c r="E25" s="403">
        <v>7.4</v>
      </c>
      <c r="F25" s="397">
        <v>56382046</v>
      </c>
      <c r="G25" s="403">
        <v>44.3</v>
      </c>
      <c r="H25" s="397">
        <v>12047164</v>
      </c>
      <c r="I25" s="741">
        <v>9.5</v>
      </c>
      <c r="J25" s="145">
        <v>69597</v>
      </c>
      <c r="K25" s="403">
        <v>0.1</v>
      </c>
      <c r="L25" s="397">
        <v>817927</v>
      </c>
      <c r="M25" s="403">
        <v>0.6</v>
      </c>
      <c r="N25" s="397">
        <v>1937162</v>
      </c>
      <c r="O25" s="403">
        <v>1.5</v>
      </c>
      <c r="P25" s="401">
        <v>12083781</v>
      </c>
      <c r="Q25" s="741">
        <v>9.5</v>
      </c>
      <c r="R25" s="145">
        <v>5017462</v>
      </c>
      <c r="S25" s="403">
        <v>3.9</v>
      </c>
      <c r="T25" s="397">
        <v>18896108</v>
      </c>
      <c r="U25" s="403">
        <v>14.8</v>
      </c>
      <c r="V25" s="397">
        <v>40677</v>
      </c>
      <c r="W25" s="403">
        <v>0</v>
      </c>
      <c r="X25" s="397">
        <v>9961257</v>
      </c>
      <c r="Y25" s="741">
        <v>7.8</v>
      </c>
      <c r="Z25" s="145">
        <v>0</v>
      </c>
      <c r="AA25" s="403">
        <v>0</v>
      </c>
      <c r="AB25" s="397">
        <v>0</v>
      </c>
      <c r="AC25" s="742">
        <v>0</v>
      </c>
      <c r="AD25" s="935">
        <v>127326398</v>
      </c>
      <c r="AE25" s="964">
        <v>100</v>
      </c>
      <c r="AF25" s="583"/>
    </row>
    <row r="26" spans="1:32" ht="15.75" customHeight="1" x14ac:dyDescent="0.2">
      <c r="A26" s="121" t="s">
        <v>172</v>
      </c>
      <c r="B26" s="135">
        <v>716757</v>
      </c>
      <c r="C26" s="423">
        <v>0.4</v>
      </c>
      <c r="D26" s="420">
        <v>18469719</v>
      </c>
      <c r="E26" s="423">
        <v>9</v>
      </c>
      <c r="F26" s="420">
        <v>101113272</v>
      </c>
      <c r="G26" s="423">
        <v>49.2</v>
      </c>
      <c r="H26" s="420">
        <v>18519148</v>
      </c>
      <c r="I26" s="745">
        <v>9</v>
      </c>
      <c r="J26" s="135">
        <v>466155</v>
      </c>
      <c r="K26" s="423">
        <v>0.2</v>
      </c>
      <c r="L26" s="420">
        <v>416757</v>
      </c>
      <c r="M26" s="423">
        <v>0.2</v>
      </c>
      <c r="N26" s="420">
        <v>2107261</v>
      </c>
      <c r="O26" s="423">
        <v>1</v>
      </c>
      <c r="P26" s="421">
        <v>19765847</v>
      </c>
      <c r="Q26" s="745">
        <v>9.6</v>
      </c>
      <c r="R26" s="135">
        <v>6779859</v>
      </c>
      <c r="S26" s="423">
        <v>3.3</v>
      </c>
      <c r="T26" s="420">
        <v>24422132</v>
      </c>
      <c r="U26" s="423">
        <v>11.9</v>
      </c>
      <c r="V26" s="420">
        <v>870437</v>
      </c>
      <c r="W26" s="423">
        <v>0.4</v>
      </c>
      <c r="X26" s="420">
        <v>12003078</v>
      </c>
      <c r="Y26" s="745">
        <v>5.8</v>
      </c>
      <c r="Z26" s="135" t="s">
        <v>143</v>
      </c>
      <c r="AA26" s="423" t="s">
        <v>143</v>
      </c>
      <c r="AB26" s="420" t="s">
        <v>143</v>
      </c>
      <c r="AC26" s="746" t="s">
        <v>143</v>
      </c>
      <c r="AD26" s="914">
        <v>205650422</v>
      </c>
      <c r="AE26" s="965">
        <v>100</v>
      </c>
      <c r="AF26" s="583"/>
    </row>
    <row r="27" spans="1:32" ht="15.75" customHeight="1" x14ac:dyDescent="0.2">
      <c r="A27" s="169" t="s">
        <v>173</v>
      </c>
      <c r="B27" s="145">
        <v>822121</v>
      </c>
      <c r="C27" s="403">
        <v>0.5</v>
      </c>
      <c r="D27" s="397">
        <v>15241407</v>
      </c>
      <c r="E27" s="403">
        <v>9.5</v>
      </c>
      <c r="F27" s="397">
        <v>56857692</v>
      </c>
      <c r="G27" s="403">
        <v>35.299999999999997</v>
      </c>
      <c r="H27" s="397">
        <v>24757390</v>
      </c>
      <c r="I27" s="741">
        <v>15.4</v>
      </c>
      <c r="J27" s="145">
        <v>209891</v>
      </c>
      <c r="K27" s="403">
        <v>0.1</v>
      </c>
      <c r="L27" s="397">
        <v>649676</v>
      </c>
      <c r="M27" s="403">
        <v>0.4</v>
      </c>
      <c r="N27" s="397">
        <v>3432445</v>
      </c>
      <c r="O27" s="403">
        <v>2.1</v>
      </c>
      <c r="P27" s="401">
        <v>14367740</v>
      </c>
      <c r="Q27" s="741">
        <v>8.9</v>
      </c>
      <c r="R27" s="145">
        <v>6092750</v>
      </c>
      <c r="S27" s="403">
        <v>3.8</v>
      </c>
      <c r="T27" s="397">
        <v>20895665</v>
      </c>
      <c r="U27" s="403">
        <v>13</v>
      </c>
      <c r="V27" s="397">
        <v>499980</v>
      </c>
      <c r="W27" s="403">
        <v>0.3</v>
      </c>
      <c r="X27" s="397">
        <v>17122582</v>
      </c>
      <c r="Y27" s="741">
        <v>10.7</v>
      </c>
      <c r="Z27" s="145" t="s">
        <v>143</v>
      </c>
      <c r="AA27" s="403" t="s">
        <v>143</v>
      </c>
      <c r="AB27" s="397" t="s">
        <v>143</v>
      </c>
      <c r="AC27" s="742" t="s">
        <v>143</v>
      </c>
      <c r="AD27" s="935">
        <v>160949339</v>
      </c>
      <c r="AE27" s="964">
        <v>100</v>
      </c>
      <c r="AF27" s="583"/>
    </row>
    <row r="28" spans="1:32" ht="15.75" customHeight="1" x14ac:dyDescent="0.2">
      <c r="A28" s="121" t="s">
        <v>174</v>
      </c>
      <c r="B28" s="135">
        <v>758802</v>
      </c>
      <c r="C28" s="423">
        <v>0.5</v>
      </c>
      <c r="D28" s="420">
        <v>15120954</v>
      </c>
      <c r="E28" s="423">
        <v>9.1</v>
      </c>
      <c r="F28" s="420">
        <v>56568543</v>
      </c>
      <c r="G28" s="423">
        <v>33.9</v>
      </c>
      <c r="H28" s="420">
        <v>9110209</v>
      </c>
      <c r="I28" s="745">
        <v>5.5</v>
      </c>
      <c r="J28" s="135">
        <v>1249387</v>
      </c>
      <c r="K28" s="423">
        <v>0.7</v>
      </c>
      <c r="L28" s="420">
        <v>4276119</v>
      </c>
      <c r="M28" s="423">
        <v>2.6</v>
      </c>
      <c r="N28" s="420">
        <v>4364630</v>
      </c>
      <c r="O28" s="423">
        <v>2.6</v>
      </c>
      <c r="P28" s="421">
        <v>24131436</v>
      </c>
      <c r="Q28" s="745">
        <v>14.5</v>
      </c>
      <c r="R28" s="135">
        <v>6574308</v>
      </c>
      <c r="S28" s="423">
        <v>3.9</v>
      </c>
      <c r="T28" s="420">
        <v>22253927</v>
      </c>
      <c r="U28" s="423">
        <v>13.4</v>
      </c>
      <c r="V28" s="420">
        <v>173659</v>
      </c>
      <c r="W28" s="423">
        <v>0.1</v>
      </c>
      <c r="X28" s="420">
        <v>22076402</v>
      </c>
      <c r="Y28" s="745">
        <v>13.2</v>
      </c>
      <c r="Z28" s="135" t="s">
        <v>143</v>
      </c>
      <c r="AA28" s="423" t="s">
        <v>143</v>
      </c>
      <c r="AB28" s="420" t="s">
        <v>143</v>
      </c>
      <c r="AC28" s="746" t="s">
        <v>143</v>
      </c>
      <c r="AD28" s="914">
        <v>166658376</v>
      </c>
      <c r="AE28" s="1289">
        <v>100</v>
      </c>
      <c r="AF28" s="583"/>
    </row>
    <row r="29" spans="1:32" ht="15.75" customHeight="1" x14ac:dyDescent="0.2">
      <c r="A29" s="169" t="s">
        <v>175</v>
      </c>
      <c r="B29" s="145">
        <v>883434</v>
      </c>
      <c r="C29" s="403">
        <v>0.5</v>
      </c>
      <c r="D29" s="397">
        <v>17781038</v>
      </c>
      <c r="E29" s="403">
        <v>10</v>
      </c>
      <c r="F29" s="397">
        <v>65180050</v>
      </c>
      <c r="G29" s="403">
        <v>36.799999999999997</v>
      </c>
      <c r="H29" s="397">
        <v>14386720</v>
      </c>
      <c r="I29" s="741">
        <v>8.1</v>
      </c>
      <c r="J29" s="145">
        <v>403183</v>
      </c>
      <c r="K29" s="403">
        <v>0.2</v>
      </c>
      <c r="L29" s="397">
        <v>2733485</v>
      </c>
      <c r="M29" s="403">
        <v>1.6</v>
      </c>
      <c r="N29" s="397">
        <v>3868177</v>
      </c>
      <c r="O29" s="403">
        <v>2.2000000000000002</v>
      </c>
      <c r="P29" s="401">
        <v>22557289</v>
      </c>
      <c r="Q29" s="741">
        <v>12.7</v>
      </c>
      <c r="R29" s="145">
        <v>5036198</v>
      </c>
      <c r="S29" s="403">
        <v>2.8</v>
      </c>
      <c r="T29" s="397">
        <v>23566647</v>
      </c>
      <c r="U29" s="403">
        <v>13.3</v>
      </c>
      <c r="V29" s="397">
        <v>196208</v>
      </c>
      <c r="W29" s="403">
        <v>0.1</v>
      </c>
      <c r="X29" s="397">
        <v>20757086</v>
      </c>
      <c r="Y29" s="741">
        <v>11.7</v>
      </c>
      <c r="Z29" s="807">
        <v>41004</v>
      </c>
      <c r="AA29" s="808">
        <v>0</v>
      </c>
      <c r="AB29" s="808" t="s">
        <v>143</v>
      </c>
      <c r="AC29" s="809" t="s">
        <v>143</v>
      </c>
      <c r="AD29" s="935">
        <v>177390519</v>
      </c>
      <c r="AE29" s="964">
        <v>100</v>
      </c>
      <c r="AF29" s="583"/>
    </row>
    <row r="30" spans="1:32" ht="15.75" customHeight="1" x14ac:dyDescent="0.2">
      <c r="A30" s="121" t="s">
        <v>251</v>
      </c>
      <c r="B30" s="135">
        <v>665632</v>
      </c>
      <c r="C30" s="423">
        <v>0.7</v>
      </c>
      <c r="D30" s="420">
        <v>8913301</v>
      </c>
      <c r="E30" s="423">
        <v>8.9</v>
      </c>
      <c r="F30" s="420">
        <v>42679850</v>
      </c>
      <c r="G30" s="423">
        <v>42.4</v>
      </c>
      <c r="H30" s="420">
        <v>5974214</v>
      </c>
      <c r="I30" s="745">
        <v>5.9</v>
      </c>
      <c r="J30" s="135">
        <v>416499</v>
      </c>
      <c r="K30" s="423">
        <v>0.4</v>
      </c>
      <c r="L30" s="420">
        <v>3154329</v>
      </c>
      <c r="M30" s="423">
        <v>3.1</v>
      </c>
      <c r="N30" s="420">
        <v>2371275</v>
      </c>
      <c r="O30" s="423">
        <v>2.4</v>
      </c>
      <c r="P30" s="421">
        <v>10795876</v>
      </c>
      <c r="Q30" s="745">
        <v>10.7</v>
      </c>
      <c r="R30" s="135">
        <v>3238286</v>
      </c>
      <c r="S30" s="423">
        <v>3.2</v>
      </c>
      <c r="T30" s="420">
        <v>8980722</v>
      </c>
      <c r="U30" s="423">
        <v>8.9</v>
      </c>
      <c r="V30" s="420">
        <v>51619</v>
      </c>
      <c r="W30" s="423">
        <v>0.1</v>
      </c>
      <c r="X30" s="420">
        <v>13370640</v>
      </c>
      <c r="Y30" s="745">
        <v>13.3</v>
      </c>
      <c r="Z30" s="135">
        <v>571</v>
      </c>
      <c r="AA30" s="423">
        <v>0</v>
      </c>
      <c r="AB30" s="420">
        <v>0</v>
      </c>
      <c r="AC30" s="746">
        <v>0</v>
      </c>
      <c r="AD30" s="914">
        <v>100612814</v>
      </c>
      <c r="AE30" s="965">
        <v>100</v>
      </c>
      <c r="AF30" s="583"/>
    </row>
    <row r="31" spans="1:32" ht="15.75" customHeight="1" x14ac:dyDescent="0.2">
      <c r="A31" s="169" t="s">
        <v>178</v>
      </c>
      <c r="B31" s="145">
        <v>524160</v>
      </c>
      <c r="C31" s="403">
        <v>0.7</v>
      </c>
      <c r="D31" s="397">
        <v>8355657</v>
      </c>
      <c r="E31" s="403">
        <v>11.1</v>
      </c>
      <c r="F31" s="397">
        <v>32584445</v>
      </c>
      <c r="G31" s="403">
        <v>43.1</v>
      </c>
      <c r="H31" s="397">
        <v>6796259</v>
      </c>
      <c r="I31" s="741">
        <v>9</v>
      </c>
      <c r="J31" s="145">
        <v>260484</v>
      </c>
      <c r="K31" s="403">
        <v>0.3</v>
      </c>
      <c r="L31" s="397">
        <v>711285</v>
      </c>
      <c r="M31" s="403">
        <v>0.9</v>
      </c>
      <c r="N31" s="397">
        <v>615335</v>
      </c>
      <c r="O31" s="403">
        <v>0.8</v>
      </c>
      <c r="P31" s="401">
        <v>10216401</v>
      </c>
      <c r="Q31" s="741">
        <v>13.5</v>
      </c>
      <c r="R31" s="145">
        <v>2309190</v>
      </c>
      <c r="S31" s="403">
        <v>3.1</v>
      </c>
      <c r="T31" s="397">
        <v>6016998</v>
      </c>
      <c r="U31" s="403">
        <v>8</v>
      </c>
      <c r="V31" s="397">
        <v>5472</v>
      </c>
      <c r="W31" s="403">
        <v>0</v>
      </c>
      <c r="X31" s="397">
        <v>7165669</v>
      </c>
      <c r="Y31" s="741">
        <v>9.5</v>
      </c>
      <c r="Z31" s="145" t="s">
        <v>143</v>
      </c>
      <c r="AA31" s="403" t="s">
        <v>143</v>
      </c>
      <c r="AB31" s="397" t="s">
        <v>143</v>
      </c>
      <c r="AC31" s="742" t="s">
        <v>143</v>
      </c>
      <c r="AD31" s="935">
        <v>75561355</v>
      </c>
      <c r="AE31" s="964">
        <v>100</v>
      </c>
      <c r="AF31" s="583"/>
    </row>
    <row r="32" spans="1:32" ht="15.75" customHeight="1" x14ac:dyDescent="0.2">
      <c r="A32" s="121" t="s">
        <v>179</v>
      </c>
      <c r="B32" s="135">
        <v>671932</v>
      </c>
      <c r="C32" s="423">
        <v>0.4</v>
      </c>
      <c r="D32" s="420">
        <v>15417210</v>
      </c>
      <c r="E32" s="423">
        <v>9.4</v>
      </c>
      <c r="F32" s="420">
        <v>55828239</v>
      </c>
      <c r="G32" s="423">
        <v>34.1</v>
      </c>
      <c r="H32" s="420">
        <v>16949379</v>
      </c>
      <c r="I32" s="745">
        <v>10.4</v>
      </c>
      <c r="J32" s="135">
        <v>197868</v>
      </c>
      <c r="K32" s="423">
        <v>0.1</v>
      </c>
      <c r="L32" s="420">
        <v>1786786</v>
      </c>
      <c r="M32" s="423">
        <v>1.1000000000000001</v>
      </c>
      <c r="N32" s="420">
        <v>8996147</v>
      </c>
      <c r="O32" s="423">
        <v>5.5</v>
      </c>
      <c r="P32" s="421">
        <v>17622974</v>
      </c>
      <c r="Q32" s="745">
        <v>10.8</v>
      </c>
      <c r="R32" s="135">
        <v>4642300</v>
      </c>
      <c r="S32" s="423">
        <v>2.8</v>
      </c>
      <c r="T32" s="420">
        <v>17943653</v>
      </c>
      <c r="U32" s="423">
        <v>11</v>
      </c>
      <c r="V32" s="420">
        <v>7594275</v>
      </c>
      <c r="W32" s="423">
        <v>4.5999999999999996</v>
      </c>
      <c r="X32" s="420">
        <v>16012155</v>
      </c>
      <c r="Y32" s="745">
        <v>9.8000000000000007</v>
      </c>
      <c r="Z32" s="193" t="s">
        <v>143</v>
      </c>
      <c r="AA32" s="161" t="s">
        <v>143</v>
      </c>
      <c r="AB32" s="438" t="s">
        <v>143</v>
      </c>
      <c r="AC32" s="221" t="s">
        <v>143</v>
      </c>
      <c r="AD32" s="914">
        <v>163662918</v>
      </c>
      <c r="AE32" s="965">
        <v>100</v>
      </c>
      <c r="AF32" s="583"/>
    </row>
    <row r="33" spans="1:32" ht="15.75" customHeight="1" x14ac:dyDescent="0.2">
      <c r="A33" s="169" t="s">
        <v>252</v>
      </c>
      <c r="B33" s="183">
        <v>452061</v>
      </c>
      <c r="C33" s="178">
        <v>0.5</v>
      </c>
      <c r="D33" s="456">
        <v>10717256</v>
      </c>
      <c r="E33" s="178">
        <v>11.6</v>
      </c>
      <c r="F33" s="456">
        <v>33695791</v>
      </c>
      <c r="G33" s="178">
        <v>36.5</v>
      </c>
      <c r="H33" s="456">
        <v>5980655</v>
      </c>
      <c r="I33" s="749">
        <v>6.6</v>
      </c>
      <c r="J33" s="183">
        <v>226705</v>
      </c>
      <c r="K33" s="178">
        <v>0.2</v>
      </c>
      <c r="L33" s="456">
        <v>2357888</v>
      </c>
      <c r="M33" s="178">
        <v>2.6</v>
      </c>
      <c r="N33" s="456">
        <v>3253568</v>
      </c>
      <c r="O33" s="178">
        <v>3.5</v>
      </c>
      <c r="P33" s="457">
        <v>9407545</v>
      </c>
      <c r="Q33" s="749">
        <v>10.199999999999999</v>
      </c>
      <c r="R33" s="183">
        <v>4095291</v>
      </c>
      <c r="S33" s="178">
        <v>4.4000000000000004</v>
      </c>
      <c r="T33" s="456">
        <v>12771607</v>
      </c>
      <c r="U33" s="178">
        <v>13.8</v>
      </c>
      <c r="V33" s="456">
        <v>33902</v>
      </c>
      <c r="W33" s="178">
        <v>0</v>
      </c>
      <c r="X33" s="456">
        <v>9323236</v>
      </c>
      <c r="Y33" s="749">
        <v>10.1</v>
      </c>
      <c r="Z33" s="183" t="s">
        <v>143</v>
      </c>
      <c r="AA33" s="178" t="s">
        <v>143</v>
      </c>
      <c r="AB33" s="456" t="s">
        <v>143</v>
      </c>
      <c r="AC33" s="220" t="s">
        <v>143</v>
      </c>
      <c r="AD33" s="923">
        <v>92315505</v>
      </c>
      <c r="AE33" s="964">
        <v>100</v>
      </c>
      <c r="AF33" s="583"/>
    </row>
    <row r="34" spans="1:32" ht="15.75" customHeight="1" x14ac:dyDescent="0.2">
      <c r="A34" s="121" t="s">
        <v>181</v>
      </c>
      <c r="B34" s="193">
        <v>783766</v>
      </c>
      <c r="C34" s="161">
        <v>0.5</v>
      </c>
      <c r="D34" s="438">
        <v>20385050</v>
      </c>
      <c r="E34" s="161">
        <v>12.5</v>
      </c>
      <c r="F34" s="438">
        <v>61271308</v>
      </c>
      <c r="G34" s="161">
        <v>37.6</v>
      </c>
      <c r="H34" s="438">
        <v>12593743</v>
      </c>
      <c r="I34" s="747">
        <v>7.7</v>
      </c>
      <c r="J34" s="193">
        <v>84958</v>
      </c>
      <c r="K34" s="161">
        <v>0.1</v>
      </c>
      <c r="L34" s="438">
        <v>1220596</v>
      </c>
      <c r="M34" s="161">
        <v>0.7</v>
      </c>
      <c r="N34" s="438">
        <v>12276646</v>
      </c>
      <c r="O34" s="161">
        <v>7.5</v>
      </c>
      <c r="P34" s="467">
        <v>16035288</v>
      </c>
      <c r="Q34" s="747">
        <v>9.8000000000000007</v>
      </c>
      <c r="R34" s="193">
        <v>7027817</v>
      </c>
      <c r="S34" s="161">
        <v>4.3</v>
      </c>
      <c r="T34" s="438">
        <v>18292684</v>
      </c>
      <c r="U34" s="161">
        <v>11.2</v>
      </c>
      <c r="V34" s="438">
        <v>321542</v>
      </c>
      <c r="W34" s="161">
        <v>0.2</v>
      </c>
      <c r="X34" s="438">
        <v>12822767</v>
      </c>
      <c r="Y34" s="747">
        <v>7.9</v>
      </c>
      <c r="Z34" s="193" t="s">
        <v>143</v>
      </c>
      <c r="AA34" s="161" t="s">
        <v>143</v>
      </c>
      <c r="AB34" s="438" t="s">
        <v>143</v>
      </c>
      <c r="AC34" s="221" t="s">
        <v>143</v>
      </c>
      <c r="AD34" s="966">
        <v>163116165</v>
      </c>
      <c r="AE34" s="967">
        <v>100</v>
      </c>
      <c r="AF34" s="583"/>
    </row>
    <row r="35" spans="1:32" ht="15.75" customHeight="1" x14ac:dyDescent="0.2">
      <c r="A35" s="169" t="s">
        <v>182</v>
      </c>
      <c r="B35" s="183">
        <v>626627</v>
      </c>
      <c r="C35" s="178">
        <v>0.5</v>
      </c>
      <c r="D35" s="456">
        <v>9150548</v>
      </c>
      <c r="E35" s="178">
        <v>7.1</v>
      </c>
      <c r="F35" s="456">
        <v>49003974</v>
      </c>
      <c r="G35" s="178">
        <v>38.200000000000003</v>
      </c>
      <c r="H35" s="456">
        <v>13867267</v>
      </c>
      <c r="I35" s="749">
        <v>10.8</v>
      </c>
      <c r="J35" s="183">
        <v>219336</v>
      </c>
      <c r="K35" s="178">
        <v>0.2</v>
      </c>
      <c r="L35" s="456">
        <v>2481198</v>
      </c>
      <c r="M35" s="178">
        <v>1.9</v>
      </c>
      <c r="N35" s="456">
        <v>4336671</v>
      </c>
      <c r="O35" s="178">
        <v>3.4</v>
      </c>
      <c r="P35" s="457">
        <v>13401360</v>
      </c>
      <c r="Q35" s="749">
        <v>10.4</v>
      </c>
      <c r="R35" s="183">
        <v>4321720</v>
      </c>
      <c r="S35" s="178">
        <v>3.4</v>
      </c>
      <c r="T35" s="456">
        <v>21746668</v>
      </c>
      <c r="U35" s="178">
        <v>16.899999999999999</v>
      </c>
      <c r="V35" s="456">
        <v>12863</v>
      </c>
      <c r="W35" s="178">
        <v>0</v>
      </c>
      <c r="X35" s="456">
        <v>9152104</v>
      </c>
      <c r="Y35" s="749">
        <v>7.1</v>
      </c>
      <c r="Z35" s="183" t="s">
        <v>143</v>
      </c>
      <c r="AA35" s="178" t="s">
        <v>143</v>
      </c>
      <c r="AB35" s="456" t="s">
        <v>143</v>
      </c>
      <c r="AC35" s="220" t="s">
        <v>143</v>
      </c>
      <c r="AD35" s="923">
        <v>128320336</v>
      </c>
      <c r="AE35" s="964">
        <v>100</v>
      </c>
      <c r="AF35" s="583"/>
    </row>
    <row r="36" spans="1:32" ht="15.75" customHeight="1" x14ac:dyDescent="0.2">
      <c r="A36" s="121" t="s">
        <v>183</v>
      </c>
      <c r="B36" s="193">
        <v>678169</v>
      </c>
      <c r="C36" s="161">
        <v>0.5</v>
      </c>
      <c r="D36" s="438">
        <v>11319606</v>
      </c>
      <c r="E36" s="161">
        <v>8.6</v>
      </c>
      <c r="F36" s="438">
        <v>45707847</v>
      </c>
      <c r="G36" s="161">
        <v>34.799999999999997</v>
      </c>
      <c r="H36" s="438">
        <v>19214734</v>
      </c>
      <c r="I36" s="747">
        <v>14.6</v>
      </c>
      <c r="J36" s="193">
        <v>107130</v>
      </c>
      <c r="K36" s="161">
        <v>0.1</v>
      </c>
      <c r="L36" s="438">
        <v>1599022</v>
      </c>
      <c r="M36" s="161">
        <v>1.2</v>
      </c>
      <c r="N36" s="438">
        <v>2798440</v>
      </c>
      <c r="O36" s="161">
        <v>2.1</v>
      </c>
      <c r="P36" s="467">
        <v>21312137</v>
      </c>
      <c r="Q36" s="747">
        <v>16.2</v>
      </c>
      <c r="R36" s="193">
        <v>4036429</v>
      </c>
      <c r="S36" s="161">
        <v>3.1</v>
      </c>
      <c r="T36" s="438">
        <v>18315153</v>
      </c>
      <c r="U36" s="161">
        <v>14</v>
      </c>
      <c r="V36" s="438">
        <v>7817</v>
      </c>
      <c r="W36" s="161">
        <v>0</v>
      </c>
      <c r="X36" s="438">
        <v>6348452</v>
      </c>
      <c r="Y36" s="747">
        <v>4.8</v>
      </c>
      <c r="Z36" s="193" t="s">
        <v>143</v>
      </c>
      <c r="AA36" s="161" t="s">
        <v>143</v>
      </c>
      <c r="AB36" s="438" t="s">
        <v>143</v>
      </c>
      <c r="AC36" s="438" t="s">
        <v>143</v>
      </c>
      <c r="AD36" s="966">
        <v>131444936</v>
      </c>
      <c r="AE36" s="967">
        <v>100</v>
      </c>
      <c r="AF36" s="583"/>
    </row>
    <row r="37" spans="1:32" ht="15.75" customHeight="1" x14ac:dyDescent="0.2">
      <c r="A37" s="169" t="s">
        <v>184</v>
      </c>
      <c r="B37" s="183">
        <v>587325</v>
      </c>
      <c r="C37" s="178">
        <v>0.5</v>
      </c>
      <c r="D37" s="456">
        <v>11085910</v>
      </c>
      <c r="E37" s="178">
        <v>9.6</v>
      </c>
      <c r="F37" s="456">
        <v>54510279</v>
      </c>
      <c r="G37" s="178">
        <v>47.3</v>
      </c>
      <c r="H37" s="456">
        <v>9445678</v>
      </c>
      <c r="I37" s="749">
        <v>8.1999999999999993</v>
      </c>
      <c r="J37" s="183">
        <v>164819</v>
      </c>
      <c r="K37" s="178">
        <v>0.1</v>
      </c>
      <c r="L37" s="456">
        <v>1663280</v>
      </c>
      <c r="M37" s="178">
        <v>1.5</v>
      </c>
      <c r="N37" s="456">
        <v>2569256</v>
      </c>
      <c r="O37" s="178">
        <v>2.2000000000000002</v>
      </c>
      <c r="P37" s="457">
        <v>11619114</v>
      </c>
      <c r="Q37" s="749">
        <v>10.1</v>
      </c>
      <c r="R37" s="183">
        <v>3973061</v>
      </c>
      <c r="S37" s="178">
        <v>3.5</v>
      </c>
      <c r="T37" s="456">
        <v>10474921</v>
      </c>
      <c r="U37" s="178">
        <v>9.1</v>
      </c>
      <c r="V37" s="456" t="s">
        <v>143</v>
      </c>
      <c r="W37" s="178" t="s">
        <v>143</v>
      </c>
      <c r="X37" s="456">
        <v>9118239</v>
      </c>
      <c r="Y37" s="749">
        <v>7.9</v>
      </c>
      <c r="Z37" s="183">
        <v>1619</v>
      </c>
      <c r="AA37" s="178">
        <v>0</v>
      </c>
      <c r="AB37" s="456" t="s">
        <v>143</v>
      </c>
      <c r="AC37" s="220" t="s">
        <v>143</v>
      </c>
      <c r="AD37" s="923">
        <v>115213501</v>
      </c>
      <c r="AE37" s="964">
        <v>100</v>
      </c>
      <c r="AF37" s="583"/>
    </row>
    <row r="38" spans="1:32" ht="15.75" customHeight="1" x14ac:dyDescent="0.2">
      <c r="A38" s="121" t="s">
        <v>185</v>
      </c>
      <c r="B38" s="135">
        <v>851124</v>
      </c>
      <c r="C38" s="423">
        <v>0.5</v>
      </c>
      <c r="D38" s="420">
        <v>22049129</v>
      </c>
      <c r="E38" s="423">
        <v>11.8</v>
      </c>
      <c r="F38" s="420">
        <v>55324977</v>
      </c>
      <c r="G38" s="423">
        <v>29.6</v>
      </c>
      <c r="H38" s="420">
        <v>15393762</v>
      </c>
      <c r="I38" s="745">
        <v>8.1999999999999993</v>
      </c>
      <c r="J38" s="135">
        <v>422907</v>
      </c>
      <c r="K38" s="423">
        <v>0.2</v>
      </c>
      <c r="L38" s="420">
        <v>2762028</v>
      </c>
      <c r="M38" s="423">
        <v>1.5</v>
      </c>
      <c r="N38" s="420">
        <v>4742680</v>
      </c>
      <c r="O38" s="423">
        <v>2.5</v>
      </c>
      <c r="P38" s="421">
        <v>33030701</v>
      </c>
      <c r="Q38" s="745">
        <v>17.600000000000001</v>
      </c>
      <c r="R38" s="135">
        <v>7546696</v>
      </c>
      <c r="S38" s="423">
        <v>4</v>
      </c>
      <c r="T38" s="420">
        <v>35284260</v>
      </c>
      <c r="U38" s="423">
        <v>18.8</v>
      </c>
      <c r="V38" s="420">
        <v>145160</v>
      </c>
      <c r="W38" s="423">
        <v>0.1</v>
      </c>
      <c r="X38" s="420">
        <v>9714156</v>
      </c>
      <c r="Y38" s="745">
        <v>5.2</v>
      </c>
      <c r="Z38" s="135">
        <v>0</v>
      </c>
      <c r="AA38" s="423">
        <v>0</v>
      </c>
      <c r="AB38" s="420">
        <v>0</v>
      </c>
      <c r="AC38" s="746" t="s">
        <v>143</v>
      </c>
      <c r="AD38" s="914">
        <v>187267580</v>
      </c>
      <c r="AE38" s="965">
        <v>100</v>
      </c>
      <c r="AF38" s="583"/>
    </row>
    <row r="39" spans="1:32" ht="15.75" customHeight="1" x14ac:dyDescent="0.2">
      <c r="A39" s="169" t="s">
        <v>186</v>
      </c>
      <c r="B39" s="145">
        <v>635110</v>
      </c>
      <c r="C39" s="403">
        <f>B39/AD39*100</f>
        <v>0.48490842307713627</v>
      </c>
      <c r="D39" s="397">
        <v>11116732</v>
      </c>
      <c r="E39" s="403">
        <f>D39/AD39*100</f>
        <v>8.4876588053898381</v>
      </c>
      <c r="F39" s="397">
        <v>55226065</v>
      </c>
      <c r="G39" s="403">
        <f>F39/AD39*100</f>
        <v>42.165269153226099</v>
      </c>
      <c r="H39" s="397">
        <v>20041868</v>
      </c>
      <c r="I39" s="741">
        <f>H39/AD39*100</f>
        <v>15.302027376989999</v>
      </c>
      <c r="J39" s="145">
        <v>62019</v>
      </c>
      <c r="K39" s="403">
        <f>J39/AD39*100</f>
        <v>4.7351695754784075E-2</v>
      </c>
      <c r="L39" s="397">
        <v>588071</v>
      </c>
      <c r="M39" s="403">
        <f>L39/AD39*100</f>
        <v>0.44899400303474141</v>
      </c>
      <c r="N39" s="397">
        <v>1208704</v>
      </c>
      <c r="O39" s="403">
        <f>N39/AD39*100</f>
        <v>0.92284919243442387</v>
      </c>
      <c r="P39" s="401">
        <v>6496932</v>
      </c>
      <c r="Q39" s="741">
        <f>P39/AD39*100</f>
        <v>4.9604274077866588</v>
      </c>
      <c r="R39" s="145">
        <v>3262711</v>
      </c>
      <c r="S39" s="403">
        <f>R39/AD39*100</f>
        <v>2.4910898048628214</v>
      </c>
      <c r="T39" s="397">
        <v>21762846</v>
      </c>
      <c r="U39" s="403">
        <f>T39/AD39*100</f>
        <v>16.615999331659971</v>
      </c>
      <c r="V39" s="397">
        <v>308859</v>
      </c>
      <c r="W39" s="403">
        <f>V39/AD39*100</f>
        <v>0.23581478900219052</v>
      </c>
      <c r="X39" s="397">
        <v>10261640</v>
      </c>
      <c r="Y39" s="741">
        <f>X39/AD39*100</f>
        <v>7.8347934540241289</v>
      </c>
      <c r="Z39" s="145">
        <v>3689</v>
      </c>
      <c r="AA39" s="403">
        <f>Z39/AD39*100</f>
        <v>2.8165627572098624E-3</v>
      </c>
      <c r="AB39" s="397" t="s">
        <v>143</v>
      </c>
      <c r="AC39" s="742" t="s">
        <v>143</v>
      </c>
      <c r="AD39" s="935">
        <v>130975246</v>
      </c>
      <c r="AE39" s="964">
        <v>100</v>
      </c>
      <c r="AF39" s="583"/>
    </row>
    <row r="40" spans="1:32" ht="15.75" customHeight="1" x14ac:dyDescent="0.2">
      <c r="A40" s="121" t="s">
        <v>187</v>
      </c>
      <c r="B40" s="135">
        <v>649450</v>
      </c>
      <c r="C40" s="423">
        <v>0.4</v>
      </c>
      <c r="D40" s="420">
        <v>15503105</v>
      </c>
      <c r="E40" s="423">
        <v>10.6</v>
      </c>
      <c r="F40" s="420">
        <v>78200385</v>
      </c>
      <c r="G40" s="423">
        <v>53.4</v>
      </c>
      <c r="H40" s="420">
        <v>11793839</v>
      </c>
      <c r="I40" s="745">
        <v>8.1</v>
      </c>
      <c r="J40" s="135">
        <v>323285</v>
      </c>
      <c r="K40" s="423">
        <v>0.2</v>
      </c>
      <c r="L40" s="420">
        <v>46514</v>
      </c>
      <c r="M40" s="423">
        <v>0</v>
      </c>
      <c r="N40" s="420">
        <v>301002</v>
      </c>
      <c r="O40" s="423">
        <v>0.2</v>
      </c>
      <c r="P40" s="421">
        <v>9826430</v>
      </c>
      <c r="Q40" s="745">
        <v>6.7</v>
      </c>
      <c r="R40" s="135">
        <v>4471627</v>
      </c>
      <c r="S40" s="423">
        <v>3.1</v>
      </c>
      <c r="T40" s="420">
        <v>15450992</v>
      </c>
      <c r="U40" s="423">
        <v>10.6</v>
      </c>
      <c r="V40" s="420">
        <v>28305</v>
      </c>
      <c r="W40" s="423">
        <v>0</v>
      </c>
      <c r="X40" s="420">
        <v>9743766</v>
      </c>
      <c r="Y40" s="745">
        <v>6.7</v>
      </c>
      <c r="Z40" s="135">
        <v>0</v>
      </c>
      <c r="AA40" s="423">
        <v>0</v>
      </c>
      <c r="AB40" s="420">
        <v>0</v>
      </c>
      <c r="AC40" s="746">
        <v>0</v>
      </c>
      <c r="AD40" s="914">
        <v>146338700</v>
      </c>
      <c r="AE40" s="965">
        <v>100</v>
      </c>
      <c r="AF40" s="583"/>
    </row>
    <row r="41" spans="1:32" ht="15.75" customHeight="1" x14ac:dyDescent="0.2">
      <c r="A41" s="169" t="s">
        <v>188</v>
      </c>
      <c r="B41" s="145">
        <v>721142</v>
      </c>
      <c r="C41" s="403">
        <v>0.5</v>
      </c>
      <c r="D41" s="397">
        <v>19357218</v>
      </c>
      <c r="E41" s="403">
        <v>14.3</v>
      </c>
      <c r="F41" s="397">
        <v>61907133</v>
      </c>
      <c r="G41" s="403">
        <v>45.7</v>
      </c>
      <c r="H41" s="397">
        <v>10549185</v>
      </c>
      <c r="I41" s="741">
        <v>7.8</v>
      </c>
      <c r="J41" s="145">
        <v>247411</v>
      </c>
      <c r="K41" s="403">
        <v>0.2</v>
      </c>
      <c r="L41" s="397">
        <v>72037</v>
      </c>
      <c r="M41" s="403">
        <v>0.1</v>
      </c>
      <c r="N41" s="397">
        <v>1506016</v>
      </c>
      <c r="O41" s="403">
        <v>1.1000000000000001</v>
      </c>
      <c r="P41" s="401">
        <v>12078866</v>
      </c>
      <c r="Q41" s="741">
        <v>8.9</v>
      </c>
      <c r="R41" s="145">
        <v>3951744</v>
      </c>
      <c r="S41" s="403">
        <v>2.9</v>
      </c>
      <c r="T41" s="397">
        <v>19370118</v>
      </c>
      <c r="U41" s="403">
        <v>14.3</v>
      </c>
      <c r="V41" s="397">
        <v>315283</v>
      </c>
      <c r="W41" s="403">
        <v>0.2</v>
      </c>
      <c r="X41" s="397">
        <v>5460027</v>
      </c>
      <c r="Y41" s="741">
        <v>4</v>
      </c>
      <c r="Z41" s="145">
        <v>0</v>
      </c>
      <c r="AA41" s="403">
        <v>0</v>
      </c>
      <c r="AB41" s="397">
        <v>0</v>
      </c>
      <c r="AC41" s="742">
        <v>0</v>
      </c>
      <c r="AD41" s="935">
        <v>135536180</v>
      </c>
      <c r="AE41" s="964">
        <v>100</v>
      </c>
      <c r="AF41" s="583"/>
    </row>
    <row r="42" spans="1:32" ht="15.75" customHeight="1" x14ac:dyDescent="0.2">
      <c r="A42" s="121" t="s">
        <v>190</v>
      </c>
      <c r="B42" s="135">
        <v>621931</v>
      </c>
      <c r="C42" s="423">
        <v>0.5</v>
      </c>
      <c r="D42" s="420">
        <v>12037956</v>
      </c>
      <c r="E42" s="423">
        <v>10.5</v>
      </c>
      <c r="F42" s="420">
        <v>56616591</v>
      </c>
      <c r="G42" s="423">
        <v>49.3</v>
      </c>
      <c r="H42" s="420">
        <v>9809456</v>
      </c>
      <c r="I42" s="745">
        <v>8.5</v>
      </c>
      <c r="J42" s="135">
        <v>75801</v>
      </c>
      <c r="K42" s="423">
        <v>0.1</v>
      </c>
      <c r="L42" s="420">
        <v>768186</v>
      </c>
      <c r="M42" s="423">
        <v>0.7</v>
      </c>
      <c r="N42" s="420">
        <v>701651</v>
      </c>
      <c r="O42" s="423">
        <v>0.6</v>
      </c>
      <c r="P42" s="421">
        <v>8921380</v>
      </c>
      <c r="Q42" s="745">
        <v>7.8</v>
      </c>
      <c r="R42" s="135">
        <v>3322309</v>
      </c>
      <c r="S42" s="423">
        <v>2.9</v>
      </c>
      <c r="T42" s="420">
        <v>12626318</v>
      </c>
      <c r="U42" s="423">
        <v>11</v>
      </c>
      <c r="V42" s="420">
        <v>301545</v>
      </c>
      <c r="W42" s="423">
        <v>0.3</v>
      </c>
      <c r="X42" s="420">
        <v>8154739</v>
      </c>
      <c r="Y42" s="745">
        <v>7.1</v>
      </c>
      <c r="Z42" s="135">
        <v>931177</v>
      </c>
      <c r="AA42" s="423">
        <v>0.8</v>
      </c>
      <c r="AB42" s="811" t="s">
        <v>143</v>
      </c>
      <c r="AC42" s="1008" t="s">
        <v>143</v>
      </c>
      <c r="AD42" s="914">
        <v>114889040</v>
      </c>
      <c r="AE42" s="965">
        <v>100</v>
      </c>
      <c r="AF42" s="583"/>
    </row>
    <row r="43" spans="1:32" ht="15.75" customHeight="1" x14ac:dyDescent="0.2">
      <c r="A43" s="169" t="s">
        <v>191</v>
      </c>
      <c r="B43" s="145">
        <v>611806</v>
      </c>
      <c r="C43" s="403">
        <v>0.4</v>
      </c>
      <c r="D43" s="397">
        <v>12202233</v>
      </c>
      <c r="E43" s="403">
        <v>9</v>
      </c>
      <c r="F43" s="397">
        <v>68250513</v>
      </c>
      <c r="G43" s="403">
        <v>50.4</v>
      </c>
      <c r="H43" s="397">
        <v>10861503</v>
      </c>
      <c r="I43" s="741">
        <v>8</v>
      </c>
      <c r="J43" s="145">
        <v>252705</v>
      </c>
      <c r="K43" s="403">
        <v>0.1</v>
      </c>
      <c r="L43" s="397">
        <v>205453</v>
      </c>
      <c r="M43" s="403">
        <v>0.2</v>
      </c>
      <c r="N43" s="397">
        <v>658991</v>
      </c>
      <c r="O43" s="403">
        <v>0.5</v>
      </c>
      <c r="P43" s="401">
        <v>12422443</v>
      </c>
      <c r="Q43" s="741">
        <v>9.1999999999999993</v>
      </c>
      <c r="R43" s="145">
        <v>4982703</v>
      </c>
      <c r="S43" s="403">
        <v>3.7</v>
      </c>
      <c r="T43" s="397">
        <v>14208382</v>
      </c>
      <c r="U43" s="403">
        <v>10.5</v>
      </c>
      <c r="V43" s="397">
        <v>899245</v>
      </c>
      <c r="W43" s="403">
        <v>0.7</v>
      </c>
      <c r="X43" s="397">
        <v>9937556</v>
      </c>
      <c r="Y43" s="741">
        <v>7.3</v>
      </c>
      <c r="Z43" s="145">
        <v>0</v>
      </c>
      <c r="AA43" s="403">
        <v>0</v>
      </c>
      <c r="AB43" s="397">
        <v>0</v>
      </c>
      <c r="AC43" s="742">
        <v>0</v>
      </c>
      <c r="AD43" s="935">
        <v>135493533</v>
      </c>
      <c r="AE43" s="964">
        <v>100</v>
      </c>
      <c r="AF43" s="583"/>
    </row>
    <row r="44" spans="1:32" ht="15.75" customHeight="1" x14ac:dyDescent="0.2">
      <c r="A44" s="121" t="s">
        <v>253</v>
      </c>
      <c r="B44" s="135">
        <v>482284</v>
      </c>
      <c r="C44" s="423">
        <v>0.5</v>
      </c>
      <c r="D44" s="420">
        <v>9477947</v>
      </c>
      <c r="E44" s="423">
        <v>9.5</v>
      </c>
      <c r="F44" s="420">
        <v>53452981</v>
      </c>
      <c r="G44" s="423">
        <v>53.4</v>
      </c>
      <c r="H44" s="420">
        <v>8636994</v>
      </c>
      <c r="I44" s="745">
        <v>8.6</v>
      </c>
      <c r="J44" s="135">
        <v>181671</v>
      </c>
      <c r="K44" s="423">
        <v>0.2</v>
      </c>
      <c r="L44" s="420">
        <v>219325</v>
      </c>
      <c r="M44" s="423">
        <v>0.2</v>
      </c>
      <c r="N44" s="420">
        <v>893359</v>
      </c>
      <c r="O44" s="423">
        <v>0.9</v>
      </c>
      <c r="P44" s="421">
        <v>7987774</v>
      </c>
      <c r="Q44" s="745">
        <v>8</v>
      </c>
      <c r="R44" s="135">
        <v>2170226</v>
      </c>
      <c r="S44" s="423">
        <v>2.2000000000000002</v>
      </c>
      <c r="T44" s="420">
        <v>7684299</v>
      </c>
      <c r="U44" s="423">
        <v>7.7</v>
      </c>
      <c r="V44" s="420">
        <v>0</v>
      </c>
      <c r="W44" s="423">
        <v>0</v>
      </c>
      <c r="X44" s="420">
        <v>8790652</v>
      </c>
      <c r="Y44" s="745">
        <v>8.8000000000000007</v>
      </c>
      <c r="Z44" s="135">
        <v>261</v>
      </c>
      <c r="AA44" s="423">
        <v>0</v>
      </c>
      <c r="AB44" s="420">
        <v>0</v>
      </c>
      <c r="AC44" s="746">
        <v>0</v>
      </c>
      <c r="AD44" s="914">
        <v>99977773</v>
      </c>
      <c r="AE44" s="965">
        <v>100</v>
      </c>
      <c r="AF44" s="583"/>
    </row>
    <row r="45" spans="1:32" ht="15.75" customHeight="1" x14ac:dyDescent="0.2">
      <c r="A45" s="169" t="s">
        <v>193</v>
      </c>
      <c r="B45" s="145">
        <v>435536</v>
      </c>
      <c r="C45" s="403">
        <v>0.5</v>
      </c>
      <c r="D45" s="397">
        <v>9246318</v>
      </c>
      <c r="E45" s="403">
        <v>10.6</v>
      </c>
      <c r="F45" s="397">
        <v>45479253</v>
      </c>
      <c r="G45" s="403">
        <v>52.1</v>
      </c>
      <c r="H45" s="397">
        <v>4374923</v>
      </c>
      <c r="I45" s="741">
        <v>5</v>
      </c>
      <c r="J45" s="145">
        <v>21275</v>
      </c>
      <c r="K45" s="403">
        <v>0</v>
      </c>
      <c r="L45" s="397">
        <v>224566</v>
      </c>
      <c r="M45" s="403">
        <v>0.3</v>
      </c>
      <c r="N45" s="397">
        <v>460483</v>
      </c>
      <c r="O45" s="403">
        <v>0.5</v>
      </c>
      <c r="P45" s="401">
        <v>10631462</v>
      </c>
      <c r="Q45" s="741">
        <v>12.2</v>
      </c>
      <c r="R45" s="145">
        <v>3155657</v>
      </c>
      <c r="S45" s="403">
        <v>3.6</v>
      </c>
      <c r="T45" s="397">
        <v>7258133</v>
      </c>
      <c r="U45" s="403">
        <v>8.3000000000000007</v>
      </c>
      <c r="V45" s="397">
        <v>6718</v>
      </c>
      <c r="W45" s="403">
        <v>0</v>
      </c>
      <c r="X45" s="397">
        <v>6001786</v>
      </c>
      <c r="Y45" s="741">
        <v>6.9</v>
      </c>
      <c r="Z45" s="145" t="s">
        <v>143</v>
      </c>
      <c r="AA45" s="403" t="s">
        <v>143</v>
      </c>
      <c r="AB45" s="397" t="s">
        <v>143</v>
      </c>
      <c r="AC45" s="742" t="s">
        <v>143</v>
      </c>
      <c r="AD45" s="935">
        <v>87296110</v>
      </c>
      <c r="AE45" s="964">
        <v>100</v>
      </c>
      <c r="AF45" s="583"/>
    </row>
    <row r="46" spans="1:32" ht="15.75" customHeight="1" x14ac:dyDescent="0.2">
      <c r="A46" s="121" t="s">
        <v>194</v>
      </c>
      <c r="B46" s="135">
        <v>764090</v>
      </c>
      <c r="C46" s="423">
        <v>0.4</v>
      </c>
      <c r="D46" s="420">
        <v>20777335</v>
      </c>
      <c r="E46" s="423">
        <v>10.199999999999999</v>
      </c>
      <c r="F46" s="420">
        <v>105058979</v>
      </c>
      <c r="G46" s="423">
        <v>51.4</v>
      </c>
      <c r="H46" s="420">
        <v>13484459</v>
      </c>
      <c r="I46" s="745">
        <v>6.6</v>
      </c>
      <c r="J46" s="135">
        <v>310336</v>
      </c>
      <c r="K46" s="423">
        <v>0.2</v>
      </c>
      <c r="L46" s="420">
        <v>180666</v>
      </c>
      <c r="M46" s="423">
        <v>0.1</v>
      </c>
      <c r="N46" s="420">
        <v>2961951</v>
      </c>
      <c r="O46" s="423">
        <v>1.5</v>
      </c>
      <c r="P46" s="421">
        <v>21498161</v>
      </c>
      <c r="Q46" s="745">
        <v>10.5</v>
      </c>
      <c r="R46" s="135">
        <v>5092256</v>
      </c>
      <c r="S46" s="423">
        <v>2.5</v>
      </c>
      <c r="T46" s="420">
        <v>16605384</v>
      </c>
      <c r="U46" s="423">
        <v>8.1</v>
      </c>
      <c r="V46" s="420">
        <v>24142</v>
      </c>
      <c r="W46" s="423">
        <v>0</v>
      </c>
      <c r="X46" s="420">
        <v>17444296</v>
      </c>
      <c r="Y46" s="745">
        <v>8.5</v>
      </c>
      <c r="Z46" s="135" t="s">
        <v>143</v>
      </c>
      <c r="AA46" s="423" t="s">
        <v>143</v>
      </c>
      <c r="AB46" s="420" t="s">
        <v>143</v>
      </c>
      <c r="AC46" s="746" t="s">
        <v>143</v>
      </c>
      <c r="AD46" s="914">
        <v>204202055</v>
      </c>
      <c r="AE46" s="965">
        <v>99.999999999999986</v>
      </c>
      <c r="AF46" s="583"/>
    </row>
    <row r="47" spans="1:32" ht="15.75" customHeight="1" x14ac:dyDescent="0.2">
      <c r="A47" s="169" t="s">
        <v>195</v>
      </c>
      <c r="B47" s="145">
        <v>991934</v>
      </c>
      <c r="C47" s="403">
        <v>0.5</v>
      </c>
      <c r="D47" s="397">
        <v>14872192</v>
      </c>
      <c r="E47" s="403">
        <v>7.1</v>
      </c>
      <c r="F47" s="397">
        <v>80457430</v>
      </c>
      <c r="G47" s="403">
        <v>38.200000000000003</v>
      </c>
      <c r="H47" s="397">
        <v>16873753</v>
      </c>
      <c r="I47" s="741">
        <v>8</v>
      </c>
      <c r="J47" s="145">
        <v>205832</v>
      </c>
      <c r="K47" s="403">
        <v>0.1</v>
      </c>
      <c r="L47" s="397">
        <v>2859846</v>
      </c>
      <c r="M47" s="403">
        <v>1.4</v>
      </c>
      <c r="N47" s="397">
        <v>5051743</v>
      </c>
      <c r="O47" s="403">
        <v>2.4</v>
      </c>
      <c r="P47" s="401">
        <v>35468221</v>
      </c>
      <c r="Q47" s="741">
        <v>16.8</v>
      </c>
      <c r="R47" s="145">
        <v>6799221</v>
      </c>
      <c r="S47" s="403">
        <v>3.2</v>
      </c>
      <c r="T47" s="397">
        <v>26354243</v>
      </c>
      <c r="U47" s="403">
        <v>12.5</v>
      </c>
      <c r="V47" s="397">
        <v>69642</v>
      </c>
      <c r="W47" s="403">
        <v>0</v>
      </c>
      <c r="X47" s="397">
        <v>20596900</v>
      </c>
      <c r="Y47" s="741">
        <v>9.8000000000000007</v>
      </c>
      <c r="Z47" s="145" t="s">
        <v>143</v>
      </c>
      <c r="AA47" s="403" t="s">
        <v>143</v>
      </c>
      <c r="AB47" s="397" t="s">
        <v>143</v>
      </c>
      <c r="AC47" s="742" t="s">
        <v>143</v>
      </c>
      <c r="AD47" s="935">
        <v>210600957</v>
      </c>
      <c r="AE47" s="964">
        <v>100</v>
      </c>
      <c r="AF47" s="583"/>
    </row>
    <row r="48" spans="1:32" ht="15.75" customHeight="1" x14ac:dyDescent="0.2">
      <c r="A48" s="121" t="s">
        <v>196</v>
      </c>
      <c r="B48" s="135">
        <v>812566</v>
      </c>
      <c r="C48" s="423">
        <v>0.4</v>
      </c>
      <c r="D48" s="420">
        <v>19002517</v>
      </c>
      <c r="E48" s="423">
        <v>9.4</v>
      </c>
      <c r="F48" s="420">
        <v>101877886</v>
      </c>
      <c r="G48" s="423">
        <v>50.5</v>
      </c>
      <c r="H48" s="420">
        <v>13170377</v>
      </c>
      <c r="I48" s="745">
        <v>6.5</v>
      </c>
      <c r="J48" s="135">
        <v>156782</v>
      </c>
      <c r="K48" s="423">
        <v>0.1</v>
      </c>
      <c r="L48" s="420">
        <v>175269</v>
      </c>
      <c r="M48" s="423">
        <v>0.1</v>
      </c>
      <c r="N48" s="420">
        <v>1830948</v>
      </c>
      <c r="O48" s="423">
        <v>0.9</v>
      </c>
      <c r="P48" s="421">
        <v>16719404</v>
      </c>
      <c r="Q48" s="745">
        <v>8.3000000000000007</v>
      </c>
      <c r="R48" s="135">
        <v>4722421</v>
      </c>
      <c r="S48" s="423">
        <v>2.4</v>
      </c>
      <c r="T48" s="420">
        <v>14742316</v>
      </c>
      <c r="U48" s="423">
        <v>7.3</v>
      </c>
      <c r="V48" s="420">
        <v>215230</v>
      </c>
      <c r="W48" s="423">
        <v>0.1</v>
      </c>
      <c r="X48" s="420">
        <v>28187579</v>
      </c>
      <c r="Y48" s="745">
        <v>14</v>
      </c>
      <c r="Z48" s="135">
        <v>0</v>
      </c>
      <c r="AA48" s="423">
        <v>0</v>
      </c>
      <c r="AB48" s="420">
        <v>0</v>
      </c>
      <c r="AC48" s="746">
        <v>0</v>
      </c>
      <c r="AD48" s="914">
        <v>201613295</v>
      </c>
      <c r="AE48" s="965">
        <v>100</v>
      </c>
      <c r="AF48" s="583"/>
    </row>
    <row r="49" spans="1:32" ht="15.75" customHeight="1" x14ac:dyDescent="0.2">
      <c r="A49" s="169" t="s">
        <v>197</v>
      </c>
      <c r="B49" s="145">
        <v>550800</v>
      </c>
      <c r="C49" s="403">
        <v>0.5</v>
      </c>
      <c r="D49" s="397">
        <v>9326405</v>
      </c>
      <c r="E49" s="403">
        <v>8.8000000000000007</v>
      </c>
      <c r="F49" s="397">
        <v>53095573</v>
      </c>
      <c r="G49" s="403">
        <v>50.1</v>
      </c>
      <c r="H49" s="397">
        <v>8281927</v>
      </c>
      <c r="I49" s="741">
        <v>7.8</v>
      </c>
      <c r="J49" s="145">
        <v>129096</v>
      </c>
      <c r="K49" s="403">
        <v>0.1</v>
      </c>
      <c r="L49" s="397">
        <v>707727</v>
      </c>
      <c r="M49" s="403">
        <v>0.7</v>
      </c>
      <c r="N49" s="397">
        <v>823138</v>
      </c>
      <c r="O49" s="403">
        <v>0.8</v>
      </c>
      <c r="P49" s="401">
        <v>7677782</v>
      </c>
      <c r="Q49" s="741">
        <v>7.2</v>
      </c>
      <c r="R49" s="145">
        <v>2834978</v>
      </c>
      <c r="S49" s="403">
        <v>2.7</v>
      </c>
      <c r="T49" s="397">
        <v>11516643</v>
      </c>
      <c r="U49" s="403">
        <v>10.9</v>
      </c>
      <c r="V49" s="397">
        <v>63758</v>
      </c>
      <c r="W49" s="403">
        <v>0.1</v>
      </c>
      <c r="X49" s="397">
        <v>11014734</v>
      </c>
      <c r="Y49" s="741">
        <v>10.4</v>
      </c>
      <c r="Z49" s="145">
        <v>0</v>
      </c>
      <c r="AA49" s="403">
        <v>0</v>
      </c>
      <c r="AB49" s="397">
        <v>0</v>
      </c>
      <c r="AC49" s="742">
        <v>0</v>
      </c>
      <c r="AD49" s="935">
        <v>106022561</v>
      </c>
      <c r="AE49" s="964">
        <v>100</v>
      </c>
      <c r="AF49" s="583"/>
    </row>
    <row r="50" spans="1:32" ht="15.75" customHeight="1" x14ac:dyDescent="0.2">
      <c r="A50" s="121" t="s">
        <v>198</v>
      </c>
      <c r="B50" s="135">
        <v>855064</v>
      </c>
      <c r="C50" s="423">
        <v>0.5</v>
      </c>
      <c r="D50" s="420">
        <v>16835785</v>
      </c>
      <c r="E50" s="423">
        <v>9.6999999999999993</v>
      </c>
      <c r="F50" s="420">
        <v>78678510</v>
      </c>
      <c r="G50" s="423">
        <v>45.1</v>
      </c>
      <c r="H50" s="420">
        <v>15018016</v>
      </c>
      <c r="I50" s="745">
        <v>8.6</v>
      </c>
      <c r="J50" s="135">
        <v>329756</v>
      </c>
      <c r="K50" s="423">
        <v>0.2</v>
      </c>
      <c r="L50" s="420">
        <v>170025</v>
      </c>
      <c r="M50" s="423">
        <v>0.1</v>
      </c>
      <c r="N50" s="420">
        <v>1121827</v>
      </c>
      <c r="O50" s="423">
        <v>0.6</v>
      </c>
      <c r="P50" s="421">
        <v>16143713</v>
      </c>
      <c r="Q50" s="745">
        <v>9.3000000000000007</v>
      </c>
      <c r="R50" s="135">
        <v>5819826</v>
      </c>
      <c r="S50" s="423">
        <v>3.3</v>
      </c>
      <c r="T50" s="420">
        <v>24604441</v>
      </c>
      <c r="U50" s="423">
        <v>14.1</v>
      </c>
      <c r="V50" s="420">
        <v>14126</v>
      </c>
      <c r="W50" s="423">
        <v>0</v>
      </c>
      <c r="X50" s="420">
        <v>14792854</v>
      </c>
      <c r="Y50" s="745">
        <v>8.5</v>
      </c>
      <c r="Z50" s="135">
        <v>0</v>
      </c>
      <c r="AA50" s="423">
        <v>0</v>
      </c>
      <c r="AB50" s="420">
        <v>0</v>
      </c>
      <c r="AC50" s="746">
        <v>0</v>
      </c>
      <c r="AD50" s="914">
        <f>B50+D50+F50+H50+J50+L50+N50+P50+R50+T50+V50+X50+Z50+AB50</f>
        <v>174383943</v>
      </c>
      <c r="AE50" s="965">
        <f>C50+E50+G50+I50+K50+M50+O50+Q50+S50+U50+W50+Y50+AA50+AC50</f>
        <v>99.999999999999972</v>
      </c>
      <c r="AF50" s="583"/>
    </row>
    <row r="51" spans="1:32" ht="15.75" customHeight="1" x14ac:dyDescent="0.2">
      <c r="A51" s="169" t="s">
        <v>200</v>
      </c>
      <c r="B51" s="145">
        <v>653279</v>
      </c>
      <c r="C51" s="403">
        <v>0.5</v>
      </c>
      <c r="D51" s="397">
        <v>11788369</v>
      </c>
      <c r="E51" s="403">
        <v>9.1</v>
      </c>
      <c r="F51" s="397">
        <v>58179213</v>
      </c>
      <c r="G51" s="403">
        <v>45.1</v>
      </c>
      <c r="H51" s="397">
        <v>10297553</v>
      </c>
      <c r="I51" s="741">
        <v>8</v>
      </c>
      <c r="J51" s="183">
        <v>119418</v>
      </c>
      <c r="K51" s="178">
        <v>0.1</v>
      </c>
      <c r="L51" s="456">
        <v>616344</v>
      </c>
      <c r="M51" s="403">
        <v>0.5</v>
      </c>
      <c r="N51" s="397">
        <v>2253687</v>
      </c>
      <c r="O51" s="403">
        <v>1.7</v>
      </c>
      <c r="P51" s="401">
        <v>9940944</v>
      </c>
      <c r="Q51" s="741">
        <v>7.7</v>
      </c>
      <c r="R51" s="145">
        <v>3884621</v>
      </c>
      <c r="S51" s="403">
        <v>3</v>
      </c>
      <c r="T51" s="397">
        <v>13277941</v>
      </c>
      <c r="U51" s="403">
        <v>10.3</v>
      </c>
      <c r="V51" s="397">
        <v>8415</v>
      </c>
      <c r="W51" s="403">
        <v>0.1</v>
      </c>
      <c r="X51" s="397">
        <v>17889208</v>
      </c>
      <c r="Y51" s="741">
        <v>13.9</v>
      </c>
      <c r="Z51" s="145">
        <v>1587</v>
      </c>
      <c r="AA51" s="403">
        <v>0</v>
      </c>
      <c r="AB51" s="397" t="s">
        <v>143</v>
      </c>
      <c r="AC51" s="742" t="s">
        <v>143</v>
      </c>
      <c r="AD51" s="935">
        <v>128910579</v>
      </c>
      <c r="AE51" s="964">
        <v>100</v>
      </c>
      <c r="AF51" s="583"/>
    </row>
    <row r="52" spans="1:32" ht="15.75" customHeight="1" x14ac:dyDescent="0.2">
      <c r="A52" s="121" t="s">
        <v>201</v>
      </c>
      <c r="B52" s="193">
        <v>842475</v>
      </c>
      <c r="C52" s="161">
        <v>0.5</v>
      </c>
      <c r="D52" s="438">
        <v>12647669</v>
      </c>
      <c r="E52" s="161">
        <v>7.9</v>
      </c>
      <c r="F52" s="438">
        <v>67789933</v>
      </c>
      <c r="G52" s="161">
        <v>42.5</v>
      </c>
      <c r="H52" s="438">
        <v>8579052</v>
      </c>
      <c r="I52" s="747">
        <v>5.4</v>
      </c>
      <c r="J52" s="193">
        <v>202195</v>
      </c>
      <c r="K52" s="161">
        <v>0.1</v>
      </c>
      <c r="L52" s="438">
        <v>1538241</v>
      </c>
      <c r="M52" s="161">
        <v>1</v>
      </c>
      <c r="N52" s="438">
        <v>2820397</v>
      </c>
      <c r="O52" s="161">
        <v>1.8</v>
      </c>
      <c r="P52" s="467">
        <v>26618044</v>
      </c>
      <c r="Q52" s="747">
        <v>16.7</v>
      </c>
      <c r="R52" s="193">
        <v>4844650</v>
      </c>
      <c r="S52" s="161">
        <v>3</v>
      </c>
      <c r="T52" s="438">
        <v>17342843</v>
      </c>
      <c r="U52" s="161">
        <v>10.9</v>
      </c>
      <c r="V52" s="438">
        <v>749004</v>
      </c>
      <c r="W52" s="161">
        <v>0.5</v>
      </c>
      <c r="X52" s="438">
        <v>15567869</v>
      </c>
      <c r="Y52" s="747">
        <v>9.6999999999999993</v>
      </c>
      <c r="Z52" s="193" t="s">
        <v>143</v>
      </c>
      <c r="AA52" s="161" t="s">
        <v>143</v>
      </c>
      <c r="AB52" s="438" t="s">
        <v>143</v>
      </c>
      <c r="AC52" s="221" t="s">
        <v>143</v>
      </c>
      <c r="AD52" s="966">
        <v>159542372</v>
      </c>
      <c r="AE52" s="965">
        <v>100</v>
      </c>
      <c r="AF52" s="583"/>
    </row>
    <row r="53" spans="1:32" ht="15.75" customHeight="1" x14ac:dyDescent="0.2">
      <c r="A53" s="169" t="s">
        <v>202</v>
      </c>
      <c r="B53" s="145">
        <v>447274</v>
      </c>
      <c r="C53" s="403">
        <v>0.4</v>
      </c>
      <c r="D53" s="397">
        <v>14955741</v>
      </c>
      <c r="E53" s="403">
        <v>14.6</v>
      </c>
      <c r="F53" s="397">
        <v>34109800</v>
      </c>
      <c r="G53" s="403">
        <v>33.5</v>
      </c>
      <c r="H53" s="397">
        <v>7754929</v>
      </c>
      <c r="I53" s="741">
        <v>7.6</v>
      </c>
      <c r="J53" s="183">
        <v>0</v>
      </c>
      <c r="K53" s="178">
        <v>0</v>
      </c>
      <c r="L53" s="397">
        <v>3471762</v>
      </c>
      <c r="M53" s="403">
        <v>3.4</v>
      </c>
      <c r="N53" s="397">
        <v>9008746</v>
      </c>
      <c r="O53" s="403">
        <v>8.8000000000000007</v>
      </c>
      <c r="P53" s="401">
        <v>7505409</v>
      </c>
      <c r="Q53" s="741">
        <v>7.3</v>
      </c>
      <c r="R53" s="145">
        <v>2837888</v>
      </c>
      <c r="S53" s="403">
        <v>2.8</v>
      </c>
      <c r="T53" s="397">
        <v>11523077</v>
      </c>
      <c r="U53" s="403">
        <v>11.3</v>
      </c>
      <c r="V53" s="397">
        <v>945804</v>
      </c>
      <c r="W53" s="403">
        <v>0.9</v>
      </c>
      <c r="X53" s="397">
        <v>9605783</v>
      </c>
      <c r="Y53" s="741">
        <v>9.4</v>
      </c>
      <c r="Z53" s="145">
        <v>0</v>
      </c>
      <c r="AA53" s="403">
        <v>0</v>
      </c>
      <c r="AB53" s="397">
        <v>0</v>
      </c>
      <c r="AC53" s="742">
        <v>0</v>
      </c>
      <c r="AD53" s="935">
        <v>102166213</v>
      </c>
      <c r="AE53" s="964">
        <v>100</v>
      </c>
      <c r="AF53" s="583"/>
    </row>
    <row r="54" spans="1:32" ht="15.75" customHeight="1" x14ac:dyDescent="0.2">
      <c r="A54" s="121" t="s">
        <v>203</v>
      </c>
      <c r="B54" s="135">
        <v>490797</v>
      </c>
      <c r="C54" s="423">
        <v>0.5</v>
      </c>
      <c r="D54" s="420">
        <v>10683597</v>
      </c>
      <c r="E54" s="423">
        <v>10.7</v>
      </c>
      <c r="F54" s="420">
        <v>36877118</v>
      </c>
      <c r="G54" s="423">
        <v>36.799999999999997</v>
      </c>
      <c r="H54" s="420">
        <v>9125307</v>
      </c>
      <c r="I54" s="745">
        <v>9.1</v>
      </c>
      <c r="J54" s="135">
        <v>325304</v>
      </c>
      <c r="K54" s="423">
        <v>0.3</v>
      </c>
      <c r="L54" s="420">
        <v>2661933</v>
      </c>
      <c r="M54" s="423">
        <v>2.7</v>
      </c>
      <c r="N54" s="420">
        <v>3066960</v>
      </c>
      <c r="O54" s="423">
        <v>3.1</v>
      </c>
      <c r="P54" s="421">
        <v>8367722</v>
      </c>
      <c r="Q54" s="745">
        <v>8.3000000000000007</v>
      </c>
      <c r="R54" s="135">
        <v>2641357</v>
      </c>
      <c r="S54" s="423">
        <v>2.5</v>
      </c>
      <c r="T54" s="420">
        <v>12852721</v>
      </c>
      <c r="U54" s="423">
        <v>12.8</v>
      </c>
      <c r="V54" s="420">
        <v>103801</v>
      </c>
      <c r="W54" s="423">
        <v>0.1</v>
      </c>
      <c r="X54" s="420">
        <v>12717044</v>
      </c>
      <c r="Y54" s="745">
        <v>12.7</v>
      </c>
      <c r="Z54" s="135">
        <v>384124</v>
      </c>
      <c r="AA54" s="423">
        <v>0.4</v>
      </c>
      <c r="AB54" s="420" t="s">
        <v>143</v>
      </c>
      <c r="AC54" s="746" t="s">
        <v>143</v>
      </c>
      <c r="AD54" s="914">
        <v>100297785</v>
      </c>
      <c r="AE54" s="965">
        <v>100</v>
      </c>
      <c r="AF54" s="583"/>
    </row>
    <row r="55" spans="1:32" ht="15.75" customHeight="1" x14ac:dyDescent="0.2">
      <c r="A55" s="169" t="s">
        <v>204</v>
      </c>
      <c r="B55" s="145">
        <v>836107</v>
      </c>
      <c r="C55" s="403">
        <v>0.4</v>
      </c>
      <c r="D55" s="397">
        <v>17043520</v>
      </c>
      <c r="E55" s="403">
        <v>8.3000000000000007</v>
      </c>
      <c r="F55" s="397">
        <v>76474974</v>
      </c>
      <c r="G55" s="403">
        <v>37.299999999999997</v>
      </c>
      <c r="H55" s="397">
        <v>27864748</v>
      </c>
      <c r="I55" s="741">
        <v>13.6</v>
      </c>
      <c r="J55" s="145">
        <v>526317</v>
      </c>
      <c r="K55" s="403">
        <v>0.3</v>
      </c>
      <c r="L55" s="397">
        <v>5007891</v>
      </c>
      <c r="M55" s="403">
        <v>2.4</v>
      </c>
      <c r="N55" s="397">
        <v>3512992</v>
      </c>
      <c r="O55" s="403">
        <v>1.7</v>
      </c>
      <c r="P55" s="401">
        <v>26011511</v>
      </c>
      <c r="Q55" s="741">
        <v>2.4</v>
      </c>
      <c r="R55" s="145">
        <v>4901756</v>
      </c>
      <c r="S55" s="403">
        <v>2.4</v>
      </c>
      <c r="T55" s="397">
        <v>20982797</v>
      </c>
      <c r="U55" s="403">
        <v>10.199999999999999</v>
      </c>
      <c r="V55" s="397">
        <v>4657575</v>
      </c>
      <c r="W55" s="403">
        <v>2.2999999999999998</v>
      </c>
      <c r="X55" s="397">
        <v>17116721</v>
      </c>
      <c r="Y55" s="741">
        <v>8.4</v>
      </c>
      <c r="Z55" s="145">
        <v>2341</v>
      </c>
      <c r="AA55" s="403">
        <v>0</v>
      </c>
      <c r="AB55" s="397" t="s">
        <v>143</v>
      </c>
      <c r="AC55" s="742" t="s">
        <v>143</v>
      </c>
      <c r="AD55" s="935">
        <v>204939250</v>
      </c>
      <c r="AE55" s="964">
        <v>100</v>
      </c>
      <c r="AF55" s="583"/>
    </row>
    <row r="56" spans="1:32" ht="15.75" customHeight="1" x14ac:dyDescent="0.2">
      <c r="A56" s="121" t="s">
        <v>254</v>
      </c>
      <c r="B56" s="135">
        <v>564171</v>
      </c>
      <c r="C56" s="423">
        <v>0.5</v>
      </c>
      <c r="D56" s="420">
        <v>10457032</v>
      </c>
      <c r="E56" s="423">
        <v>9.8000000000000007</v>
      </c>
      <c r="F56" s="420">
        <v>36050347</v>
      </c>
      <c r="G56" s="423">
        <v>33.6</v>
      </c>
      <c r="H56" s="420">
        <v>12560604</v>
      </c>
      <c r="I56" s="745">
        <v>11.7</v>
      </c>
      <c r="J56" s="135">
        <v>572921</v>
      </c>
      <c r="K56" s="423">
        <v>0.5</v>
      </c>
      <c r="L56" s="420">
        <v>1476275</v>
      </c>
      <c r="M56" s="423">
        <v>1.4</v>
      </c>
      <c r="N56" s="420">
        <v>4814206</v>
      </c>
      <c r="O56" s="423">
        <v>4.5</v>
      </c>
      <c r="P56" s="421">
        <v>8770189</v>
      </c>
      <c r="Q56" s="745">
        <v>8.1999999999999993</v>
      </c>
      <c r="R56" s="135">
        <v>5247298</v>
      </c>
      <c r="S56" s="423">
        <v>4.9000000000000004</v>
      </c>
      <c r="T56" s="420">
        <v>6906801</v>
      </c>
      <c r="U56" s="423">
        <v>6.4</v>
      </c>
      <c r="V56" s="420">
        <v>6254283</v>
      </c>
      <c r="W56" s="423">
        <v>5.8</v>
      </c>
      <c r="X56" s="420">
        <v>13649768</v>
      </c>
      <c r="Y56" s="745">
        <v>12.7</v>
      </c>
      <c r="Z56" s="135">
        <v>5385</v>
      </c>
      <c r="AA56" s="423">
        <v>0</v>
      </c>
      <c r="AB56" s="420" t="s">
        <v>143</v>
      </c>
      <c r="AC56" s="746" t="s">
        <v>143</v>
      </c>
      <c r="AD56" s="914">
        <v>107329280</v>
      </c>
      <c r="AE56" s="965">
        <v>100</v>
      </c>
      <c r="AF56" s="583"/>
    </row>
    <row r="57" spans="1:32" ht="15.75" customHeight="1" x14ac:dyDescent="0.2">
      <c r="A57" s="169" t="s">
        <v>207</v>
      </c>
      <c r="B57" s="145">
        <v>751969</v>
      </c>
      <c r="C57" s="403">
        <v>0.4</v>
      </c>
      <c r="D57" s="397">
        <v>13461084</v>
      </c>
      <c r="E57" s="403">
        <v>7.4</v>
      </c>
      <c r="F57" s="397">
        <v>74048714</v>
      </c>
      <c r="G57" s="403">
        <v>40.700000000000003</v>
      </c>
      <c r="H57" s="397">
        <v>13198240</v>
      </c>
      <c r="I57" s="741">
        <v>7.3</v>
      </c>
      <c r="J57" s="145">
        <v>665644</v>
      </c>
      <c r="K57" s="403">
        <v>0.4</v>
      </c>
      <c r="L57" s="397">
        <v>2533615</v>
      </c>
      <c r="M57" s="403">
        <v>1.4</v>
      </c>
      <c r="N57" s="397">
        <v>1751987</v>
      </c>
      <c r="O57" s="403">
        <v>0.9</v>
      </c>
      <c r="P57" s="401">
        <v>15538780</v>
      </c>
      <c r="Q57" s="741">
        <v>8.5</v>
      </c>
      <c r="R57" s="145">
        <v>5696978</v>
      </c>
      <c r="S57" s="403">
        <v>3.1</v>
      </c>
      <c r="T57" s="397">
        <v>36130037</v>
      </c>
      <c r="U57" s="403">
        <v>19.8</v>
      </c>
      <c r="V57" s="397">
        <v>2118666</v>
      </c>
      <c r="W57" s="403">
        <v>1.2</v>
      </c>
      <c r="X57" s="397">
        <v>16128714</v>
      </c>
      <c r="Y57" s="741">
        <v>8.9</v>
      </c>
      <c r="Z57" s="434" t="s">
        <v>143</v>
      </c>
      <c r="AA57" s="401" t="s">
        <v>143</v>
      </c>
      <c r="AB57" s="401" t="s">
        <v>143</v>
      </c>
      <c r="AC57" s="968" t="s">
        <v>143</v>
      </c>
      <c r="AD57" s="935">
        <v>182024428</v>
      </c>
      <c r="AE57" s="964">
        <v>100</v>
      </c>
      <c r="AF57" s="583"/>
    </row>
    <row r="58" spans="1:32" ht="15.75" customHeight="1" x14ac:dyDescent="0.2">
      <c r="A58" s="121" t="s">
        <v>209</v>
      </c>
      <c r="B58" s="193">
        <v>569680</v>
      </c>
      <c r="C58" s="161">
        <v>0.5</v>
      </c>
      <c r="D58" s="438">
        <v>12348517</v>
      </c>
      <c r="E58" s="161">
        <v>10.3</v>
      </c>
      <c r="F58" s="438">
        <v>44185873</v>
      </c>
      <c r="G58" s="161">
        <v>37</v>
      </c>
      <c r="H58" s="438">
        <v>10343103</v>
      </c>
      <c r="I58" s="747">
        <v>8.6</v>
      </c>
      <c r="J58" s="193">
        <v>229700</v>
      </c>
      <c r="K58" s="161">
        <v>0.2</v>
      </c>
      <c r="L58" s="438">
        <v>4289958</v>
      </c>
      <c r="M58" s="161">
        <v>3.6</v>
      </c>
      <c r="N58" s="438">
        <v>3250821</v>
      </c>
      <c r="O58" s="161">
        <v>2.7</v>
      </c>
      <c r="P58" s="467">
        <v>11881454</v>
      </c>
      <c r="Q58" s="747">
        <v>9.9</v>
      </c>
      <c r="R58" s="193">
        <v>3432669</v>
      </c>
      <c r="S58" s="161">
        <v>2.9</v>
      </c>
      <c r="T58" s="438">
        <v>12037913</v>
      </c>
      <c r="U58" s="161">
        <v>10.1</v>
      </c>
      <c r="V58" s="438">
        <v>479898</v>
      </c>
      <c r="W58" s="161">
        <v>0.4</v>
      </c>
      <c r="X58" s="438">
        <v>16499467</v>
      </c>
      <c r="Y58" s="747">
        <v>13.8</v>
      </c>
      <c r="Z58" s="193">
        <v>48674</v>
      </c>
      <c r="AA58" s="161">
        <v>0</v>
      </c>
      <c r="AB58" s="810" t="s">
        <v>143</v>
      </c>
      <c r="AC58" s="969" t="s">
        <v>143</v>
      </c>
      <c r="AD58" s="966">
        <v>119597727</v>
      </c>
      <c r="AE58" s="965">
        <v>100</v>
      </c>
      <c r="AF58" s="583"/>
    </row>
    <row r="59" spans="1:32" ht="15.75" customHeight="1" x14ac:dyDescent="0.2">
      <c r="A59" s="169" t="s">
        <v>210</v>
      </c>
      <c r="B59" s="145">
        <v>746451</v>
      </c>
      <c r="C59" s="403">
        <v>0.5</v>
      </c>
      <c r="D59" s="397">
        <v>13763801</v>
      </c>
      <c r="E59" s="403">
        <v>8.9</v>
      </c>
      <c r="F59" s="397">
        <v>69161898</v>
      </c>
      <c r="G59" s="403">
        <v>44.699999999999996</v>
      </c>
      <c r="H59" s="397">
        <v>13918237</v>
      </c>
      <c r="I59" s="741">
        <v>9</v>
      </c>
      <c r="J59" s="145">
        <v>304866</v>
      </c>
      <c r="K59" s="403">
        <v>0.2</v>
      </c>
      <c r="L59" s="397">
        <v>2740201</v>
      </c>
      <c r="M59" s="403">
        <v>1.8</v>
      </c>
      <c r="N59" s="397">
        <v>1776546</v>
      </c>
      <c r="O59" s="403">
        <v>1.2</v>
      </c>
      <c r="P59" s="401">
        <v>13364288</v>
      </c>
      <c r="Q59" s="741">
        <v>8.6999999999999993</v>
      </c>
      <c r="R59" s="145">
        <v>5111369</v>
      </c>
      <c r="S59" s="403">
        <v>3.3</v>
      </c>
      <c r="T59" s="397">
        <v>16839305</v>
      </c>
      <c r="U59" s="403">
        <v>10.9</v>
      </c>
      <c r="V59" s="397">
        <v>96894</v>
      </c>
      <c r="W59" s="403">
        <v>0.1</v>
      </c>
      <c r="X59" s="397">
        <v>16532906</v>
      </c>
      <c r="Y59" s="741">
        <v>10.7</v>
      </c>
      <c r="Z59" s="145" t="s">
        <v>143</v>
      </c>
      <c r="AA59" s="403" t="s">
        <v>143</v>
      </c>
      <c r="AB59" s="397" t="s">
        <v>143</v>
      </c>
      <c r="AC59" s="742" t="s">
        <v>143</v>
      </c>
      <c r="AD59" s="935">
        <v>154356762</v>
      </c>
      <c r="AE59" s="964">
        <v>100</v>
      </c>
      <c r="AF59" s="583"/>
    </row>
    <row r="60" spans="1:32" ht="15.75" customHeight="1" x14ac:dyDescent="0.2">
      <c r="A60" s="121" t="s">
        <v>212</v>
      </c>
      <c r="B60" s="135">
        <v>818553</v>
      </c>
      <c r="C60" s="423">
        <v>0.4</v>
      </c>
      <c r="D60" s="420">
        <v>14517709</v>
      </c>
      <c r="E60" s="423">
        <v>7.9</v>
      </c>
      <c r="F60" s="420">
        <v>91300609</v>
      </c>
      <c r="G60" s="423">
        <v>49.6</v>
      </c>
      <c r="H60" s="420">
        <v>12588156</v>
      </c>
      <c r="I60" s="745">
        <v>6.8</v>
      </c>
      <c r="J60" s="135">
        <v>343645</v>
      </c>
      <c r="K60" s="423">
        <v>0.2</v>
      </c>
      <c r="L60" s="420">
        <v>2538993</v>
      </c>
      <c r="M60" s="423">
        <v>1.4</v>
      </c>
      <c r="N60" s="420">
        <v>5729844</v>
      </c>
      <c r="O60" s="423">
        <v>3.1</v>
      </c>
      <c r="P60" s="421">
        <v>18285246</v>
      </c>
      <c r="Q60" s="745">
        <v>9.9</v>
      </c>
      <c r="R60" s="135">
        <v>5358794</v>
      </c>
      <c r="S60" s="423">
        <v>2.9</v>
      </c>
      <c r="T60" s="420">
        <v>14458144</v>
      </c>
      <c r="U60" s="423">
        <v>7.9</v>
      </c>
      <c r="V60" s="420">
        <v>1878445</v>
      </c>
      <c r="W60" s="423">
        <v>1</v>
      </c>
      <c r="X60" s="420">
        <v>16091949</v>
      </c>
      <c r="Y60" s="745">
        <v>8.6999999999999993</v>
      </c>
      <c r="Z60" s="135">
        <v>222341</v>
      </c>
      <c r="AA60" s="423">
        <v>0.1</v>
      </c>
      <c r="AB60" s="420" t="s">
        <v>143</v>
      </c>
      <c r="AC60" s="746" t="s">
        <v>143</v>
      </c>
      <c r="AD60" s="914">
        <v>184132428</v>
      </c>
      <c r="AE60" s="965">
        <v>100</v>
      </c>
      <c r="AF60" s="583"/>
    </row>
    <row r="61" spans="1:32" ht="15.75" customHeight="1" x14ac:dyDescent="0.2">
      <c r="A61" s="169" t="s">
        <v>213</v>
      </c>
      <c r="B61" s="145">
        <v>624027</v>
      </c>
      <c r="C61" s="403">
        <v>0.4</v>
      </c>
      <c r="D61" s="397">
        <v>18123129</v>
      </c>
      <c r="E61" s="403">
        <v>11.5</v>
      </c>
      <c r="F61" s="397">
        <v>72266305</v>
      </c>
      <c r="G61" s="403">
        <v>45.8</v>
      </c>
      <c r="H61" s="397">
        <v>11157531</v>
      </c>
      <c r="I61" s="741">
        <v>7.1</v>
      </c>
      <c r="J61" s="145">
        <v>165311</v>
      </c>
      <c r="K61" s="403">
        <v>0.1</v>
      </c>
      <c r="L61" s="397">
        <v>2536003</v>
      </c>
      <c r="M61" s="403">
        <v>1.6</v>
      </c>
      <c r="N61" s="397">
        <v>1976019</v>
      </c>
      <c r="O61" s="403">
        <v>1.2</v>
      </c>
      <c r="P61" s="401">
        <v>13566000</v>
      </c>
      <c r="Q61" s="741">
        <v>8.6</v>
      </c>
      <c r="R61" s="145">
        <v>5505656</v>
      </c>
      <c r="S61" s="403">
        <v>3.5</v>
      </c>
      <c r="T61" s="397">
        <v>13715418</v>
      </c>
      <c r="U61" s="403">
        <v>8.6999999999999993</v>
      </c>
      <c r="V61" s="397">
        <v>302302</v>
      </c>
      <c r="W61" s="403">
        <v>0.2</v>
      </c>
      <c r="X61" s="397">
        <v>17836161</v>
      </c>
      <c r="Y61" s="741">
        <v>11.3</v>
      </c>
      <c r="Z61" s="145" t="s">
        <v>143</v>
      </c>
      <c r="AA61" s="403" t="s">
        <v>143</v>
      </c>
      <c r="AB61" s="397" t="s">
        <v>143</v>
      </c>
      <c r="AC61" s="742" t="s">
        <v>143</v>
      </c>
      <c r="AD61" s="935">
        <v>157773862</v>
      </c>
      <c r="AE61" s="964">
        <v>100</v>
      </c>
      <c r="AF61" s="583"/>
    </row>
    <row r="62" spans="1:32" ht="15.75" customHeight="1" x14ac:dyDescent="0.2">
      <c r="A62" s="121" t="s">
        <v>215</v>
      </c>
      <c r="B62" s="135">
        <v>619848</v>
      </c>
      <c r="C62" s="423">
        <v>0.5</v>
      </c>
      <c r="D62" s="420">
        <v>11481101</v>
      </c>
      <c r="E62" s="423">
        <v>8.9</v>
      </c>
      <c r="F62" s="420">
        <v>58949746</v>
      </c>
      <c r="G62" s="423">
        <v>45.8</v>
      </c>
      <c r="H62" s="420">
        <v>8556083</v>
      </c>
      <c r="I62" s="745">
        <v>6.6</v>
      </c>
      <c r="J62" s="135">
        <v>253424</v>
      </c>
      <c r="K62" s="423">
        <v>0.2</v>
      </c>
      <c r="L62" s="420">
        <v>3236791</v>
      </c>
      <c r="M62" s="423">
        <v>2.5</v>
      </c>
      <c r="N62" s="420">
        <v>4653013</v>
      </c>
      <c r="O62" s="423">
        <v>3.6</v>
      </c>
      <c r="P62" s="421">
        <v>10176008</v>
      </c>
      <c r="Q62" s="745">
        <v>7.9</v>
      </c>
      <c r="R62" s="135">
        <v>3497489</v>
      </c>
      <c r="S62" s="423">
        <v>2.7</v>
      </c>
      <c r="T62" s="420">
        <v>13026316</v>
      </c>
      <c r="U62" s="423">
        <v>10.1</v>
      </c>
      <c r="V62" s="420">
        <v>1222846</v>
      </c>
      <c r="W62" s="423">
        <v>1</v>
      </c>
      <c r="X62" s="420">
        <v>13160919</v>
      </c>
      <c r="Y62" s="745">
        <v>10.199999999999999</v>
      </c>
      <c r="Z62" s="135" t="s">
        <v>143</v>
      </c>
      <c r="AA62" s="423" t="s">
        <v>143</v>
      </c>
      <c r="AB62" s="420" t="s">
        <v>143</v>
      </c>
      <c r="AC62" s="746" t="s">
        <v>143</v>
      </c>
      <c r="AD62" s="914">
        <v>128833584</v>
      </c>
      <c r="AE62" s="965">
        <v>100</v>
      </c>
      <c r="AF62" s="583"/>
    </row>
    <row r="63" spans="1:32" ht="15.75" customHeight="1" x14ac:dyDescent="0.2">
      <c r="A63" s="169" t="s">
        <v>216</v>
      </c>
      <c r="B63" s="434">
        <v>794088</v>
      </c>
      <c r="C63" s="403">
        <v>0.4</v>
      </c>
      <c r="D63" s="397">
        <v>17416878</v>
      </c>
      <c r="E63" s="403">
        <v>8.1999999999999993</v>
      </c>
      <c r="F63" s="397">
        <v>84850101</v>
      </c>
      <c r="G63" s="403">
        <v>39.799999999999997</v>
      </c>
      <c r="H63" s="397">
        <v>28495663</v>
      </c>
      <c r="I63" s="741">
        <v>13.4</v>
      </c>
      <c r="J63" s="458">
        <v>0</v>
      </c>
      <c r="K63" s="178">
        <v>0</v>
      </c>
      <c r="L63" s="397">
        <v>3249982</v>
      </c>
      <c r="M63" s="403">
        <v>1.5</v>
      </c>
      <c r="N63" s="397">
        <v>7213010</v>
      </c>
      <c r="O63" s="403">
        <v>3.4</v>
      </c>
      <c r="P63" s="401">
        <v>24410407</v>
      </c>
      <c r="Q63" s="741">
        <v>11.4</v>
      </c>
      <c r="R63" s="145">
        <v>6916965</v>
      </c>
      <c r="S63" s="403">
        <v>3.2</v>
      </c>
      <c r="T63" s="397">
        <v>17525628</v>
      </c>
      <c r="U63" s="403">
        <v>8.1999999999999993</v>
      </c>
      <c r="V63" s="397">
        <v>195193</v>
      </c>
      <c r="W63" s="403">
        <v>0.1</v>
      </c>
      <c r="X63" s="397">
        <v>21743978</v>
      </c>
      <c r="Y63" s="741">
        <v>10.199999999999999</v>
      </c>
      <c r="Z63" s="145">
        <v>410453</v>
      </c>
      <c r="AA63" s="403">
        <v>0.2</v>
      </c>
      <c r="AB63" s="397">
        <v>0</v>
      </c>
      <c r="AC63" s="695">
        <v>0</v>
      </c>
      <c r="AD63" s="935">
        <v>213222346</v>
      </c>
      <c r="AE63" s="964">
        <v>100</v>
      </c>
      <c r="AF63" s="583"/>
    </row>
    <row r="64" spans="1:32" ht="15.75" customHeight="1" x14ac:dyDescent="0.2">
      <c r="A64" s="121" t="s">
        <v>217</v>
      </c>
      <c r="B64" s="422">
        <v>563931</v>
      </c>
      <c r="C64" s="423">
        <v>0.4</v>
      </c>
      <c r="D64" s="420">
        <v>14015657</v>
      </c>
      <c r="E64" s="423">
        <v>10.6</v>
      </c>
      <c r="F64" s="420">
        <v>47514616</v>
      </c>
      <c r="G64" s="423">
        <v>35.9</v>
      </c>
      <c r="H64" s="420">
        <v>18615384</v>
      </c>
      <c r="I64" s="745">
        <v>14.1</v>
      </c>
      <c r="J64" s="422">
        <v>74504</v>
      </c>
      <c r="K64" s="423">
        <v>0.1</v>
      </c>
      <c r="L64" s="420">
        <v>2237588</v>
      </c>
      <c r="M64" s="423">
        <v>1.7</v>
      </c>
      <c r="N64" s="420">
        <v>7279684</v>
      </c>
      <c r="O64" s="423">
        <v>5.4</v>
      </c>
      <c r="P64" s="421">
        <v>12587357</v>
      </c>
      <c r="Q64" s="745">
        <v>9.5</v>
      </c>
      <c r="R64" s="422">
        <v>3945244</v>
      </c>
      <c r="S64" s="423">
        <v>3</v>
      </c>
      <c r="T64" s="420">
        <v>13996437</v>
      </c>
      <c r="U64" s="423">
        <v>10.6</v>
      </c>
      <c r="V64" s="420">
        <v>593376</v>
      </c>
      <c r="W64" s="423">
        <v>0.4</v>
      </c>
      <c r="X64" s="420">
        <v>10931829</v>
      </c>
      <c r="Y64" s="745">
        <v>8.3000000000000007</v>
      </c>
      <c r="Z64" s="422" t="s">
        <v>143</v>
      </c>
      <c r="AA64" s="423" t="s">
        <v>143</v>
      </c>
      <c r="AB64" s="420" t="s">
        <v>143</v>
      </c>
      <c r="AC64" s="924" t="s">
        <v>143</v>
      </c>
      <c r="AD64" s="914">
        <v>132355607</v>
      </c>
      <c r="AE64" s="965">
        <v>100</v>
      </c>
      <c r="AF64" s="583"/>
    </row>
    <row r="65" spans="1:32" ht="15.75" customHeight="1" x14ac:dyDescent="0.2">
      <c r="A65" s="169" t="s">
        <v>219</v>
      </c>
      <c r="B65" s="434">
        <v>916561</v>
      </c>
      <c r="C65" s="403">
        <v>0.5</v>
      </c>
      <c r="D65" s="397">
        <v>15305479</v>
      </c>
      <c r="E65" s="403">
        <v>8.5</v>
      </c>
      <c r="F65" s="397">
        <v>77583429</v>
      </c>
      <c r="G65" s="403">
        <v>43.1</v>
      </c>
      <c r="H65" s="397">
        <v>14369354</v>
      </c>
      <c r="I65" s="741">
        <v>8</v>
      </c>
      <c r="J65" s="434">
        <v>197851</v>
      </c>
      <c r="K65" s="403">
        <v>0.1</v>
      </c>
      <c r="L65" s="397">
        <v>3225889</v>
      </c>
      <c r="M65" s="403">
        <v>1.8</v>
      </c>
      <c r="N65" s="397">
        <v>5731678</v>
      </c>
      <c r="O65" s="403">
        <v>3.2</v>
      </c>
      <c r="P65" s="401">
        <v>18326751</v>
      </c>
      <c r="Q65" s="741">
        <v>10.199999999999999</v>
      </c>
      <c r="R65" s="145">
        <v>4914685</v>
      </c>
      <c r="S65" s="403">
        <v>2.7</v>
      </c>
      <c r="T65" s="397">
        <v>20193833</v>
      </c>
      <c r="U65" s="403">
        <v>11.2</v>
      </c>
      <c r="V65" s="397">
        <v>224524</v>
      </c>
      <c r="W65" s="403">
        <v>0.1</v>
      </c>
      <c r="X65" s="397">
        <v>19165059</v>
      </c>
      <c r="Y65" s="741">
        <v>10.6</v>
      </c>
      <c r="Z65" s="145" t="s">
        <v>143</v>
      </c>
      <c r="AA65" s="403" t="s">
        <v>143</v>
      </c>
      <c r="AB65" s="397" t="s">
        <v>143</v>
      </c>
      <c r="AC65" s="695" t="s">
        <v>143</v>
      </c>
      <c r="AD65" s="935">
        <v>180155093</v>
      </c>
      <c r="AE65" s="964">
        <v>100</v>
      </c>
      <c r="AF65" s="583"/>
    </row>
    <row r="66" spans="1:32" ht="15.75" customHeight="1" x14ac:dyDescent="0.2">
      <c r="A66" s="121" t="s">
        <v>220</v>
      </c>
      <c r="B66" s="422">
        <v>677254</v>
      </c>
      <c r="C66" s="423">
        <v>0.4</v>
      </c>
      <c r="D66" s="420">
        <v>13747053</v>
      </c>
      <c r="E66" s="423">
        <v>8.4</v>
      </c>
      <c r="F66" s="420">
        <v>73942232</v>
      </c>
      <c r="G66" s="423">
        <v>45.3</v>
      </c>
      <c r="H66" s="420">
        <v>10808262</v>
      </c>
      <c r="I66" s="745">
        <v>6.6</v>
      </c>
      <c r="J66" s="422">
        <v>98368</v>
      </c>
      <c r="K66" s="423">
        <v>0.1</v>
      </c>
      <c r="L66" s="420">
        <v>4422990</v>
      </c>
      <c r="M66" s="423">
        <v>2.7</v>
      </c>
      <c r="N66" s="420">
        <v>2512171</v>
      </c>
      <c r="O66" s="423">
        <v>1.5</v>
      </c>
      <c r="P66" s="421">
        <v>16772296</v>
      </c>
      <c r="Q66" s="745">
        <v>10.3</v>
      </c>
      <c r="R66" s="422">
        <v>3808966</v>
      </c>
      <c r="S66" s="423">
        <v>2.2999999999999998</v>
      </c>
      <c r="T66" s="420">
        <v>16622476</v>
      </c>
      <c r="U66" s="423">
        <v>10.199999999999999</v>
      </c>
      <c r="V66" s="420">
        <v>1367811</v>
      </c>
      <c r="W66" s="423">
        <v>0.8</v>
      </c>
      <c r="X66" s="420">
        <v>18532212</v>
      </c>
      <c r="Y66" s="745">
        <v>11.4</v>
      </c>
      <c r="Z66" s="422" t="s">
        <v>143</v>
      </c>
      <c r="AA66" s="423" t="s">
        <v>143</v>
      </c>
      <c r="AB66" s="420" t="s">
        <v>143</v>
      </c>
      <c r="AC66" s="924" t="s">
        <v>143</v>
      </c>
      <c r="AD66" s="914">
        <v>163312091</v>
      </c>
      <c r="AE66" s="965">
        <v>100</v>
      </c>
      <c r="AF66" s="583"/>
    </row>
    <row r="67" spans="1:32" ht="15.75" customHeight="1" x14ac:dyDescent="0.2">
      <c r="A67" s="169" t="s">
        <v>221</v>
      </c>
      <c r="B67" s="434">
        <v>1092432</v>
      </c>
      <c r="C67" s="403">
        <v>0.4</v>
      </c>
      <c r="D67" s="397">
        <v>20102942</v>
      </c>
      <c r="E67" s="403">
        <v>7.7</v>
      </c>
      <c r="F67" s="397">
        <v>125463695</v>
      </c>
      <c r="G67" s="403">
        <v>48.2</v>
      </c>
      <c r="H67" s="397">
        <v>19510615</v>
      </c>
      <c r="I67" s="741">
        <v>7.5</v>
      </c>
      <c r="J67" s="434">
        <v>714381</v>
      </c>
      <c r="K67" s="403">
        <v>0.3</v>
      </c>
      <c r="L67" s="397">
        <v>2252616</v>
      </c>
      <c r="M67" s="403">
        <v>0.9</v>
      </c>
      <c r="N67" s="397">
        <v>3158955</v>
      </c>
      <c r="O67" s="403">
        <v>1.2</v>
      </c>
      <c r="P67" s="401">
        <v>29373285</v>
      </c>
      <c r="Q67" s="741">
        <v>11.3</v>
      </c>
      <c r="R67" s="434">
        <v>5722276</v>
      </c>
      <c r="S67" s="403">
        <v>2.2000000000000002</v>
      </c>
      <c r="T67" s="397">
        <v>25669834</v>
      </c>
      <c r="U67" s="403">
        <v>9.8000000000000007</v>
      </c>
      <c r="V67" s="397">
        <v>1484800</v>
      </c>
      <c r="W67" s="403">
        <v>0.6</v>
      </c>
      <c r="X67" s="401">
        <v>24940582</v>
      </c>
      <c r="Y67" s="741">
        <v>9.6</v>
      </c>
      <c r="Z67" s="434">
        <v>902045</v>
      </c>
      <c r="AA67" s="403">
        <v>0.3</v>
      </c>
      <c r="AB67" s="397" t="s">
        <v>143</v>
      </c>
      <c r="AC67" s="740" t="s">
        <v>143</v>
      </c>
      <c r="AD67" s="970">
        <v>260388458</v>
      </c>
      <c r="AE67" s="964">
        <v>100</v>
      </c>
      <c r="AF67" s="583"/>
    </row>
    <row r="68" spans="1:32" ht="15.75" customHeight="1" thickBot="1" x14ac:dyDescent="0.25">
      <c r="A68" s="121" t="s">
        <v>223</v>
      </c>
      <c r="B68" s="135">
        <v>756051</v>
      </c>
      <c r="C68" s="423">
        <v>0.5</v>
      </c>
      <c r="D68" s="420">
        <v>16451788</v>
      </c>
      <c r="E68" s="423">
        <v>10.8</v>
      </c>
      <c r="F68" s="420">
        <v>78831490</v>
      </c>
      <c r="G68" s="423">
        <v>51.8</v>
      </c>
      <c r="H68" s="420">
        <v>8058115</v>
      </c>
      <c r="I68" s="745">
        <v>5.3</v>
      </c>
      <c r="J68" s="135">
        <v>35423</v>
      </c>
      <c r="K68" s="423">
        <v>0</v>
      </c>
      <c r="L68" s="420">
        <v>415150</v>
      </c>
      <c r="M68" s="423">
        <v>0.3</v>
      </c>
      <c r="N68" s="420">
        <v>2315502</v>
      </c>
      <c r="O68" s="423">
        <v>1.5</v>
      </c>
      <c r="P68" s="421">
        <v>14857134</v>
      </c>
      <c r="Q68" s="745">
        <v>9.8000000000000007</v>
      </c>
      <c r="R68" s="135">
        <v>3010191</v>
      </c>
      <c r="S68" s="423">
        <v>2</v>
      </c>
      <c r="T68" s="420">
        <v>15407509</v>
      </c>
      <c r="U68" s="423">
        <v>10.1</v>
      </c>
      <c r="V68" s="420">
        <v>0</v>
      </c>
      <c r="W68" s="423">
        <v>0</v>
      </c>
      <c r="X68" s="420">
        <v>12062150</v>
      </c>
      <c r="Y68" s="745">
        <v>7.9</v>
      </c>
      <c r="Z68" s="135">
        <v>0</v>
      </c>
      <c r="AA68" s="423">
        <v>0</v>
      </c>
      <c r="AB68" s="420">
        <v>0</v>
      </c>
      <c r="AC68" s="746">
        <v>0</v>
      </c>
      <c r="AD68" s="914">
        <v>152200503</v>
      </c>
      <c r="AE68" s="965">
        <v>100</v>
      </c>
      <c r="AF68" s="583"/>
    </row>
    <row r="69" spans="1:32" ht="15.75" customHeight="1" thickTop="1" x14ac:dyDescent="0.2">
      <c r="A69" s="239" t="s">
        <v>224</v>
      </c>
      <c r="B69" s="527">
        <f>SUM(B7:B68)</f>
        <v>42511561</v>
      </c>
      <c r="C69" s="314" t="s">
        <v>139</v>
      </c>
      <c r="D69" s="314">
        <f>SUM(D7:D68)</f>
        <v>875891873</v>
      </c>
      <c r="E69" s="314" t="s">
        <v>139</v>
      </c>
      <c r="F69" s="314">
        <f>SUM(F7:F68)</f>
        <v>3834997457</v>
      </c>
      <c r="G69" s="314" t="s">
        <v>139</v>
      </c>
      <c r="H69" s="314">
        <f>SUM(H7:H68)</f>
        <v>803416358</v>
      </c>
      <c r="I69" s="529" t="s">
        <v>139</v>
      </c>
      <c r="J69" s="527">
        <f>SUM(J7:J68)</f>
        <v>15850744</v>
      </c>
      <c r="K69" s="314" t="s">
        <v>139</v>
      </c>
      <c r="L69" s="314">
        <f>SUM(L7:L68)</f>
        <v>122156801</v>
      </c>
      <c r="M69" s="314" t="s">
        <v>139</v>
      </c>
      <c r="N69" s="314">
        <f>SUM(N7:N68)</f>
        <v>248070607</v>
      </c>
      <c r="O69" s="314" t="s">
        <v>139</v>
      </c>
      <c r="P69" s="314">
        <f>SUM(P7:P68)</f>
        <v>992503612</v>
      </c>
      <c r="Q69" s="529" t="s">
        <v>139</v>
      </c>
      <c r="R69" s="527">
        <f>SUM(R7:R68)</f>
        <v>280279020</v>
      </c>
      <c r="S69" s="314" t="s">
        <v>139</v>
      </c>
      <c r="T69" s="314">
        <f>SUM(T7:T68)</f>
        <v>1015789062</v>
      </c>
      <c r="U69" s="314" t="s">
        <v>139</v>
      </c>
      <c r="V69" s="314">
        <f>SUM(V7:V68)</f>
        <v>56410558</v>
      </c>
      <c r="W69" s="314" t="s">
        <v>139</v>
      </c>
      <c r="X69" s="314">
        <f>SUM(X7:X68)</f>
        <v>841563921</v>
      </c>
      <c r="Y69" s="529" t="s">
        <v>139</v>
      </c>
      <c r="Z69" s="527">
        <f>SUM(Z7:Z68)</f>
        <v>4732981</v>
      </c>
      <c r="AA69" s="314" t="s">
        <v>139</v>
      </c>
      <c r="AB69" s="314" t="s">
        <v>139</v>
      </c>
      <c r="AC69" s="316" t="s">
        <v>139</v>
      </c>
      <c r="AD69" s="971">
        <f>SUM(AD7:AD68)</f>
        <v>9134174555</v>
      </c>
      <c r="AE69" s="529" t="s">
        <v>139</v>
      </c>
    </row>
    <row r="70" spans="1:32" ht="15.75" customHeight="1" thickBot="1" x14ac:dyDescent="0.25">
      <c r="A70" s="261" t="s">
        <v>225</v>
      </c>
      <c r="B70" s="548">
        <f>AVERAGE(B7:B68)</f>
        <v>685670.33870967745</v>
      </c>
      <c r="C70" s="549">
        <f t="shared" ref="C70:AA70" si="0">AVERAGE(C7:C68)</f>
        <v>0.47556303908188902</v>
      </c>
      <c r="D70" s="545">
        <f t="shared" si="0"/>
        <v>14127288.274193548</v>
      </c>
      <c r="E70" s="549">
        <f t="shared" si="0"/>
        <v>9.7175428839579041</v>
      </c>
      <c r="F70" s="545">
        <f t="shared" si="0"/>
        <v>61854797.693548389</v>
      </c>
      <c r="G70" s="549">
        <f t="shared" si="0"/>
        <v>41.915568857310092</v>
      </c>
      <c r="H70" s="545">
        <f t="shared" si="0"/>
        <v>12958328.35483871</v>
      </c>
      <c r="I70" s="550">
        <f t="shared" si="0"/>
        <v>8.7451939899514546</v>
      </c>
      <c r="J70" s="548">
        <f t="shared" si="0"/>
        <v>255657.16129032258</v>
      </c>
      <c r="K70" s="549">
        <f t="shared" si="0"/>
        <v>0.18044115638314165</v>
      </c>
      <c r="L70" s="545">
        <f t="shared" si="0"/>
        <v>1970270.9838709678</v>
      </c>
      <c r="M70" s="549">
        <f t="shared" si="0"/>
        <v>1.4072418387586252</v>
      </c>
      <c r="N70" s="545">
        <f t="shared" si="0"/>
        <v>4001138.8225806453</v>
      </c>
      <c r="O70" s="549">
        <f t="shared" si="0"/>
        <v>2.7358524063295864</v>
      </c>
      <c r="P70" s="545">
        <f t="shared" si="0"/>
        <v>16008122.774193548</v>
      </c>
      <c r="Q70" s="550">
        <f t="shared" si="0"/>
        <v>10.539684313028815</v>
      </c>
      <c r="R70" s="548">
        <f t="shared" si="0"/>
        <v>4520629.3548387093</v>
      </c>
      <c r="S70" s="549">
        <f t="shared" si="0"/>
        <v>3.0982433839493999</v>
      </c>
      <c r="T70" s="545">
        <f t="shared" si="0"/>
        <v>16383694.548387097</v>
      </c>
      <c r="U70" s="549">
        <f t="shared" si="0"/>
        <v>11.067999989220324</v>
      </c>
      <c r="V70" s="549">
        <f t="shared" si="0"/>
        <v>972595.82758620684</v>
      </c>
      <c r="W70" s="549">
        <f t="shared" si="0"/>
        <v>0.66882439291383122</v>
      </c>
      <c r="X70" s="545">
        <f t="shared" si="0"/>
        <v>13573611.629032258</v>
      </c>
      <c r="Y70" s="550">
        <f t="shared" si="0"/>
        <v>9.1215289266778061</v>
      </c>
      <c r="Z70" s="548">
        <f t="shared" si="0"/>
        <v>135228.02857142859</v>
      </c>
      <c r="AA70" s="549">
        <f t="shared" si="0"/>
        <v>9.1509044650205998E-2</v>
      </c>
      <c r="AB70" s="545" t="s">
        <v>139</v>
      </c>
      <c r="AC70" s="767" t="s">
        <v>139</v>
      </c>
      <c r="AD70" s="972">
        <f>AVERAGE(AD7:AD68)</f>
        <v>147325396.04838711</v>
      </c>
      <c r="AE70" s="550" t="s">
        <v>139</v>
      </c>
    </row>
    <row r="71" spans="1:32" ht="16.2" thickTop="1" x14ac:dyDescent="0.2">
      <c r="A71" s="287" t="s">
        <v>255</v>
      </c>
      <c r="B71" s="402"/>
      <c r="C71" s="726"/>
      <c r="D71" s="402"/>
      <c r="E71" s="726"/>
      <c r="F71" s="402"/>
      <c r="G71" s="726"/>
      <c r="H71" s="402"/>
      <c r="I71" s="726"/>
      <c r="J71" s="402"/>
      <c r="K71" s="726"/>
      <c r="L71" s="402"/>
      <c r="M71" s="726"/>
      <c r="N71" s="402"/>
      <c r="O71" s="726"/>
      <c r="P71" s="402"/>
      <c r="Q71" s="726"/>
      <c r="R71" s="402"/>
      <c r="S71" s="726"/>
      <c r="T71" s="402"/>
      <c r="U71" s="726"/>
      <c r="V71" s="973"/>
      <c r="W71" s="726"/>
      <c r="X71" s="402"/>
      <c r="Y71" s="726"/>
      <c r="Z71" s="402"/>
      <c r="AA71" s="726"/>
      <c r="AB71" s="973"/>
      <c r="AC71" s="726"/>
      <c r="AD71" s="974"/>
      <c r="AE71" s="957"/>
    </row>
    <row r="133" spans="2:31" ht="29.25" customHeight="1" x14ac:dyDescent="0.2">
      <c r="B133" s="1575"/>
      <c r="C133" s="1575"/>
      <c r="D133" s="1575"/>
      <c r="E133" s="1575"/>
      <c r="F133" s="1575"/>
      <c r="G133" s="1575"/>
      <c r="H133" s="1575"/>
      <c r="I133" s="1575"/>
      <c r="J133" s="1575"/>
      <c r="K133" s="1575"/>
      <c r="L133" s="1575"/>
      <c r="M133" s="1575"/>
      <c r="N133" s="1575"/>
      <c r="O133" s="1575"/>
      <c r="P133" s="1575"/>
      <c r="Q133" s="1575"/>
      <c r="R133" s="1575"/>
      <c r="S133" s="1575"/>
      <c r="T133" s="1575"/>
      <c r="U133" s="1575"/>
      <c r="V133" s="1575"/>
      <c r="W133" s="1575"/>
      <c r="X133" s="1575"/>
      <c r="Y133" s="1575"/>
      <c r="Z133" s="1575"/>
      <c r="AA133" s="1575"/>
      <c r="AB133" s="1575"/>
      <c r="AC133" s="1575"/>
      <c r="AD133" s="1575"/>
      <c r="AE133" s="1575"/>
    </row>
  </sheetData>
  <autoFilter ref="A6:AF6" xr:uid="{211A6F6B-1CF4-4870-99D8-AC625FA44E52}"/>
  <mergeCells count="19">
    <mergeCell ref="AD3:AE4"/>
    <mergeCell ref="B133:I133"/>
    <mergeCell ref="J133:Q133"/>
    <mergeCell ref="R133:Y133"/>
    <mergeCell ref="Z133:AE133"/>
    <mergeCell ref="N3:O4"/>
    <mergeCell ref="P3:Q4"/>
    <mergeCell ref="R3:S4"/>
    <mergeCell ref="T3:U4"/>
    <mergeCell ref="V3:W4"/>
    <mergeCell ref="X3:Y4"/>
    <mergeCell ref="B3:C4"/>
    <mergeCell ref="D3:E4"/>
    <mergeCell ref="F3:G4"/>
    <mergeCell ref="H3:I4"/>
    <mergeCell ref="J3:K4"/>
    <mergeCell ref="L3:M4"/>
    <mergeCell ref="Z3:AA4"/>
    <mergeCell ref="AB3:AC4"/>
  </mergeCells>
  <phoneticPr fontId="2"/>
  <dataValidations count="1">
    <dataValidation imeMode="disabled" allowBlank="1" showInputMessage="1" showErrorMessage="1" sqref="B7:AE68" xr:uid="{B3F234A3-A575-4FE9-8D7D-281E2258EDCD}"/>
  </dataValidations>
  <pageMargins left="0.74803149606299213" right="0.23622047244094491" top="1.1023622047244095" bottom="0.39370078740157483" header="0.59055118110236227" footer="0.31496062992125984"/>
  <pageSetup paperSize="9" scale="71" firstPageNumber="12" fitToWidth="0" orientation="portrait" r:id="rId1"/>
  <headerFooter alignWithMargins="0">
    <oddHeader xml:space="preserve">&amp;L&amp;"ＭＳ Ｐゴシック,太字"&amp;16ⅲ　目的別歳出内訳
（令和元年度）&amp;"ＭＳ Ｐゴシック,標準"&amp;11
</oddHeader>
  </headerFooter>
  <colBreaks count="3" manualBreakCount="3">
    <brk id="9" min="2" max="70" man="1"/>
    <brk id="17" min="2" max="70" man="1"/>
    <brk id="25" min="2" max="70"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64ED1-89FC-4E23-97F7-20CE2D5FDA4C}">
  <dimension ref="A1:AI133"/>
  <sheetViews>
    <sheetView showGridLines="0" view="pageBreakPreview" zoomScale="70" zoomScaleNormal="70" zoomScaleSheetLayoutView="70" workbookViewId="0">
      <pane xSplit="1" ySplit="6" topLeftCell="B7" activePane="bottomRight" state="frozen"/>
      <selection activeCell="E12" sqref="E12"/>
      <selection pane="topRight" activeCell="E12" sqref="E12"/>
      <selection pane="bottomLeft" activeCell="E12" sqref="E12"/>
      <selection pane="bottomRight" activeCell="E12" sqref="E12"/>
    </sheetView>
  </sheetViews>
  <sheetFormatPr defaultRowHeight="13.2" x14ac:dyDescent="0.2"/>
  <cols>
    <col min="1" max="1" width="12.88671875" customWidth="1"/>
    <col min="2" max="2" width="16.21875" customWidth="1"/>
    <col min="3" max="3" width="7.44140625" customWidth="1"/>
    <col min="4" max="4" width="16.21875" customWidth="1"/>
    <col min="5" max="5" width="7.44140625" customWidth="1"/>
    <col min="6" max="6" width="16.21875" customWidth="1"/>
    <col min="7" max="7" width="7.44140625" customWidth="1"/>
    <col min="8" max="8" width="15" customWidth="1"/>
    <col min="9" max="9" width="7.44140625" customWidth="1"/>
    <col min="10" max="10" width="15" customWidth="1"/>
    <col min="11" max="11" width="7.44140625" customWidth="1"/>
    <col min="12" max="12" width="16.21875" customWidth="1"/>
    <col min="13" max="13" width="7.44140625" customWidth="1"/>
    <col min="14" max="14" width="10.6640625" customWidth="1"/>
    <col min="15" max="15" width="7.44140625" customWidth="1"/>
    <col min="16" max="16" width="10.6640625" customWidth="1"/>
    <col min="17" max="17" width="7.44140625" customWidth="1"/>
    <col min="18" max="18" width="10.6640625" customWidth="1"/>
    <col min="19" max="19" width="7.44140625" customWidth="1"/>
    <col min="20" max="20" width="10.6640625" customWidth="1"/>
    <col min="21" max="21" width="7.44140625" customWidth="1"/>
    <col min="22" max="22" width="16.21875" customWidth="1"/>
    <col min="23" max="23" width="7.44140625" customWidth="1"/>
    <col min="24" max="24" width="16.21875" customWidth="1"/>
    <col min="25" max="25" width="7.44140625" customWidth="1"/>
    <col min="26" max="26" width="16.21875" customWidth="1"/>
    <col min="27" max="27" width="7.44140625" customWidth="1"/>
    <col min="28" max="28" width="22.21875" customWidth="1"/>
    <col min="29" max="29" width="7.44140625" customWidth="1"/>
  </cols>
  <sheetData>
    <row r="1" spans="1:29" ht="19.5" customHeight="1" x14ac:dyDescent="0.2">
      <c r="A1" s="52" t="s">
        <v>705</v>
      </c>
      <c r="B1" s="52"/>
      <c r="F1" s="38"/>
      <c r="G1" s="358"/>
      <c r="H1" s="38"/>
      <c r="I1" s="358"/>
      <c r="J1" s="358"/>
    </row>
    <row r="2" spans="1:29" ht="19.5" customHeight="1" x14ac:dyDescent="0.2">
      <c r="A2" s="832" t="s">
        <v>655</v>
      </c>
      <c r="B2" s="832"/>
    </row>
    <row r="3" spans="1:29" ht="17.25" customHeight="1" x14ac:dyDescent="0.2">
      <c r="A3" s="61" t="s">
        <v>390</v>
      </c>
      <c r="B3" s="1454" t="s">
        <v>706</v>
      </c>
      <c r="C3" s="1454"/>
      <c r="D3" s="1454"/>
      <c r="E3" s="1457"/>
      <c r="F3" s="1535" t="s">
        <v>707</v>
      </c>
      <c r="G3" s="1689"/>
      <c r="H3" s="1453" t="s">
        <v>708</v>
      </c>
      <c r="I3" s="1454"/>
      <c r="J3" s="1454"/>
      <c r="K3" s="1455"/>
      <c r="L3" s="1534" t="s">
        <v>709</v>
      </c>
      <c r="M3" s="1689"/>
      <c r="N3" s="1552" t="s">
        <v>710</v>
      </c>
      <c r="O3" s="1689"/>
      <c r="P3" s="1552" t="s">
        <v>711</v>
      </c>
      <c r="Q3" s="1689"/>
      <c r="R3" s="1552" t="s">
        <v>712</v>
      </c>
      <c r="S3" s="1689"/>
      <c r="T3" s="1552" t="s">
        <v>713</v>
      </c>
      <c r="U3" s="1689"/>
      <c r="V3" s="1535" t="s">
        <v>714</v>
      </c>
      <c r="W3" s="1553"/>
      <c r="X3" s="345"/>
      <c r="Y3" s="345"/>
      <c r="Z3" s="345"/>
      <c r="AA3" s="345"/>
      <c r="AB3" s="1775" t="s">
        <v>715</v>
      </c>
      <c r="AC3" s="1553"/>
    </row>
    <row r="4" spans="1:29" ht="17.25" customHeight="1" x14ac:dyDescent="0.2">
      <c r="A4" s="69"/>
      <c r="B4" s="1701" t="s">
        <v>716</v>
      </c>
      <c r="C4" s="1536"/>
      <c r="D4" s="1554" t="s">
        <v>717</v>
      </c>
      <c r="E4" s="1536"/>
      <c r="F4" s="1712"/>
      <c r="G4" s="1736"/>
      <c r="H4" s="1503" t="s">
        <v>718</v>
      </c>
      <c r="I4" s="1701"/>
      <c r="J4" s="1503" t="s">
        <v>719</v>
      </c>
      <c r="K4" s="1779"/>
      <c r="L4" s="1778"/>
      <c r="M4" s="1736"/>
      <c r="N4" s="1504"/>
      <c r="O4" s="1736"/>
      <c r="P4" s="1504"/>
      <c r="Q4" s="1736"/>
      <c r="R4" s="1504"/>
      <c r="S4" s="1736"/>
      <c r="T4" s="1504"/>
      <c r="U4" s="1736"/>
      <c r="V4" s="1780"/>
      <c r="W4" s="1781"/>
      <c r="X4" s="1782" t="s">
        <v>720</v>
      </c>
      <c r="Y4" s="1782"/>
      <c r="Z4" s="1503" t="s">
        <v>721</v>
      </c>
      <c r="AA4" s="1782"/>
      <c r="AB4" s="1776"/>
      <c r="AC4" s="1777"/>
    </row>
    <row r="5" spans="1:29" ht="17.25" customHeight="1" x14ac:dyDescent="0.2">
      <c r="A5" s="576"/>
      <c r="B5" s="75"/>
      <c r="C5" s="86" t="s">
        <v>685</v>
      </c>
      <c r="D5" s="372"/>
      <c r="E5" s="86" t="s">
        <v>685</v>
      </c>
      <c r="F5" s="68"/>
      <c r="G5" s="86" t="s">
        <v>685</v>
      </c>
      <c r="H5" s="68"/>
      <c r="I5" s="86" t="s">
        <v>685</v>
      </c>
      <c r="J5" s="873"/>
      <c r="K5" s="786" t="s">
        <v>685</v>
      </c>
      <c r="L5" s="295"/>
      <c r="M5" s="86" t="s">
        <v>685</v>
      </c>
      <c r="N5" s="68"/>
      <c r="O5" s="86" t="s">
        <v>685</v>
      </c>
      <c r="P5" s="68"/>
      <c r="Q5" s="86" t="s">
        <v>685</v>
      </c>
      <c r="R5" s="68"/>
      <c r="S5" s="86" t="s">
        <v>685</v>
      </c>
      <c r="T5" s="875"/>
      <c r="U5" s="86" t="s">
        <v>685</v>
      </c>
      <c r="V5" s="68"/>
      <c r="W5" s="786" t="s">
        <v>685</v>
      </c>
      <c r="X5" s="68"/>
      <c r="Y5" s="86" t="s">
        <v>685</v>
      </c>
      <c r="Z5" s="68"/>
      <c r="AA5" s="86" t="s">
        <v>685</v>
      </c>
      <c r="AB5" s="962"/>
      <c r="AC5" s="786" t="s">
        <v>685</v>
      </c>
    </row>
    <row r="6" spans="1:29" ht="17.25" customHeight="1" x14ac:dyDescent="0.2">
      <c r="A6" s="91" t="s">
        <v>414</v>
      </c>
      <c r="B6" s="93" t="s">
        <v>647</v>
      </c>
      <c r="C6" s="94" t="s">
        <v>131</v>
      </c>
      <c r="D6" s="94" t="s">
        <v>647</v>
      </c>
      <c r="E6" s="94" t="s">
        <v>131</v>
      </c>
      <c r="F6" s="94" t="s">
        <v>647</v>
      </c>
      <c r="G6" s="93" t="s">
        <v>131</v>
      </c>
      <c r="H6" s="94" t="s">
        <v>647</v>
      </c>
      <c r="I6" s="93" t="s">
        <v>131</v>
      </c>
      <c r="J6" s="94" t="s">
        <v>647</v>
      </c>
      <c r="K6" s="95" t="s">
        <v>131</v>
      </c>
      <c r="L6" s="92" t="s">
        <v>647</v>
      </c>
      <c r="M6" s="94" t="s">
        <v>131</v>
      </c>
      <c r="N6" s="94" t="s">
        <v>647</v>
      </c>
      <c r="O6" s="94" t="s">
        <v>131</v>
      </c>
      <c r="P6" s="94" t="s">
        <v>647</v>
      </c>
      <c r="Q6" s="94" t="s">
        <v>131</v>
      </c>
      <c r="R6" s="94" t="s">
        <v>647</v>
      </c>
      <c r="S6" s="94" t="s">
        <v>131</v>
      </c>
      <c r="T6" s="94" t="s">
        <v>647</v>
      </c>
      <c r="U6" s="94" t="s">
        <v>131</v>
      </c>
      <c r="V6" s="93" t="s">
        <v>647</v>
      </c>
      <c r="W6" s="95" t="s">
        <v>131</v>
      </c>
      <c r="X6" s="93" t="s">
        <v>647</v>
      </c>
      <c r="Y6" s="94" t="s">
        <v>131</v>
      </c>
      <c r="Z6" s="94" t="s">
        <v>647</v>
      </c>
      <c r="AA6" s="94" t="s">
        <v>131</v>
      </c>
      <c r="AB6" s="963" t="s">
        <v>647</v>
      </c>
      <c r="AC6" s="95" t="s">
        <v>131</v>
      </c>
    </row>
    <row r="7" spans="1:29" ht="15.75" customHeight="1" x14ac:dyDescent="0.2">
      <c r="A7" s="395" t="s">
        <v>142</v>
      </c>
      <c r="B7" s="1178">
        <v>11446375</v>
      </c>
      <c r="C7" s="1104">
        <v>35.299999999999997</v>
      </c>
      <c r="D7" s="1090">
        <v>2704968</v>
      </c>
      <c r="E7" s="1104">
        <v>8.3474944105071671</v>
      </c>
      <c r="F7" s="1090">
        <v>12707607</v>
      </c>
      <c r="G7" s="1024">
        <v>39.200000000000003</v>
      </c>
      <c r="H7" s="1090">
        <v>574294</v>
      </c>
      <c r="I7" s="1024">
        <v>1.8</v>
      </c>
      <c r="J7" s="1090">
        <v>4869</v>
      </c>
      <c r="K7" s="1295">
        <v>0</v>
      </c>
      <c r="L7" s="1296">
        <v>2316680</v>
      </c>
      <c r="M7" s="1297">
        <v>7.2</v>
      </c>
      <c r="N7" s="1298" t="s">
        <v>143</v>
      </c>
      <c r="O7" s="1090" t="s">
        <v>143</v>
      </c>
      <c r="P7" s="1090">
        <v>1200</v>
      </c>
      <c r="Q7" s="1104">
        <v>0</v>
      </c>
      <c r="R7" s="1297" t="s">
        <v>143</v>
      </c>
      <c r="S7" s="1104" t="s">
        <v>143</v>
      </c>
      <c r="T7" s="1090" t="s">
        <v>143</v>
      </c>
      <c r="U7" s="1104" t="s">
        <v>143</v>
      </c>
      <c r="V7" s="1178">
        <v>2648557</v>
      </c>
      <c r="W7" s="1299">
        <v>8.1999999999999993</v>
      </c>
      <c r="X7" s="1178">
        <v>2412438</v>
      </c>
      <c r="Y7" s="1104">
        <v>7.4</v>
      </c>
      <c r="Z7" s="1090" t="s">
        <v>143</v>
      </c>
      <c r="AA7" s="1104" t="s">
        <v>143</v>
      </c>
      <c r="AB7" s="1300">
        <v>32404550</v>
      </c>
      <c r="AC7" s="1301">
        <v>100</v>
      </c>
    </row>
    <row r="8" spans="1:29" ht="15.75" customHeight="1" x14ac:dyDescent="0.2">
      <c r="A8" s="419" t="s">
        <v>144</v>
      </c>
      <c r="B8" s="1302">
        <v>14602695</v>
      </c>
      <c r="C8" s="1115">
        <v>36.200000000000003</v>
      </c>
      <c r="D8" s="1049">
        <v>3292922</v>
      </c>
      <c r="E8" s="1115">
        <v>8.1999999999999993</v>
      </c>
      <c r="F8" s="1049">
        <v>14563680</v>
      </c>
      <c r="G8" s="1303">
        <v>36.1</v>
      </c>
      <c r="H8" s="1049">
        <v>717368</v>
      </c>
      <c r="I8" s="1303">
        <v>1.8</v>
      </c>
      <c r="J8" s="1049">
        <v>3946</v>
      </c>
      <c r="K8" s="1304">
        <v>0</v>
      </c>
      <c r="L8" s="1114">
        <v>2763939</v>
      </c>
      <c r="M8" s="1115">
        <v>6.9</v>
      </c>
      <c r="N8" s="1049" t="s">
        <v>143</v>
      </c>
      <c r="O8" s="1049" t="s">
        <v>143</v>
      </c>
      <c r="P8" s="1049" t="s">
        <v>143</v>
      </c>
      <c r="Q8" s="1115" t="s">
        <v>143</v>
      </c>
      <c r="R8" s="1305" t="s">
        <v>143</v>
      </c>
      <c r="S8" s="1115" t="s">
        <v>143</v>
      </c>
      <c r="T8" s="1049" t="s">
        <v>143</v>
      </c>
      <c r="U8" s="1115" t="s">
        <v>143</v>
      </c>
      <c r="V8" s="1302">
        <v>4339410</v>
      </c>
      <c r="W8" s="1304">
        <v>10.8</v>
      </c>
      <c r="X8" s="1302">
        <v>2914972</v>
      </c>
      <c r="Y8" s="1115">
        <v>7.2</v>
      </c>
      <c r="Z8" s="1049">
        <v>1395382</v>
      </c>
      <c r="AA8" s="1115">
        <v>3.5</v>
      </c>
      <c r="AB8" s="1306">
        <v>40283960</v>
      </c>
      <c r="AC8" s="1307">
        <v>100</v>
      </c>
    </row>
    <row r="9" spans="1:29" ht="15.75" customHeight="1" x14ac:dyDescent="0.2">
      <c r="A9" s="395" t="s">
        <v>145</v>
      </c>
      <c r="B9" s="1178">
        <v>12387472</v>
      </c>
      <c r="C9" s="1104">
        <v>36</v>
      </c>
      <c r="D9" s="1090">
        <v>3332001</v>
      </c>
      <c r="E9" s="1104">
        <v>9.6999999999999993</v>
      </c>
      <c r="F9" s="1090">
        <v>15809482</v>
      </c>
      <c r="G9" s="1024">
        <v>46</v>
      </c>
      <c r="H9" s="1090">
        <v>707490</v>
      </c>
      <c r="I9" s="1024">
        <v>2.1</v>
      </c>
      <c r="J9" s="1090">
        <v>7863</v>
      </c>
      <c r="K9" s="1299">
        <v>0</v>
      </c>
      <c r="L9" s="1103">
        <v>2071008</v>
      </c>
      <c r="M9" s="1104">
        <v>6</v>
      </c>
      <c r="N9" s="1090" t="s">
        <v>143</v>
      </c>
      <c r="O9" s="1090" t="s">
        <v>143</v>
      </c>
      <c r="P9" s="1090" t="s">
        <v>143</v>
      </c>
      <c r="Q9" s="1104" t="s">
        <v>143</v>
      </c>
      <c r="R9" s="1297" t="s">
        <v>143</v>
      </c>
      <c r="S9" s="1104" t="s">
        <v>143</v>
      </c>
      <c r="T9" s="1090">
        <v>394</v>
      </c>
      <c r="U9" s="1104">
        <v>0</v>
      </c>
      <c r="V9" s="1178">
        <v>48563</v>
      </c>
      <c r="W9" s="1299">
        <v>0.2</v>
      </c>
      <c r="X9" s="1178" t="s">
        <v>143</v>
      </c>
      <c r="Y9" s="1104" t="s">
        <v>143</v>
      </c>
      <c r="Z9" s="1090">
        <v>240</v>
      </c>
      <c r="AA9" s="1104">
        <v>0</v>
      </c>
      <c r="AB9" s="1300">
        <v>34364273</v>
      </c>
      <c r="AC9" s="1301">
        <v>100</v>
      </c>
    </row>
    <row r="10" spans="1:29" ht="15.75" customHeight="1" x14ac:dyDescent="0.2">
      <c r="A10" s="419" t="s">
        <v>147</v>
      </c>
      <c r="B10" s="1302">
        <v>10681715</v>
      </c>
      <c r="C10" s="1115">
        <v>35.1</v>
      </c>
      <c r="D10" s="1049">
        <v>2539744</v>
      </c>
      <c r="E10" s="1115">
        <v>8.4</v>
      </c>
      <c r="F10" s="1049">
        <v>14756741</v>
      </c>
      <c r="G10" s="1115">
        <v>48.5</v>
      </c>
      <c r="H10" s="1049">
        <v>587981</v>
      </c>
      <c r="I10" s="1115">
        <v>2</v>
      </c>
      <c r="J10" s="1049">
        <v>5551</v>
      </c>
      <c r="K10" s="1304">
        <v>0</v>
      </c>
      <c r="L10" s="1114">
        <v>1834838</v>
      </c>
      <c r="M10" s="1115">
        <v>6</v>
      </c>
      <c r="N10" s="1049" t="s">
        <v>143</v>
      </c>
      <c r="O10" s="1115" t="s">
        <v>143</v>
      </c>
      <c r="P10" s="1049" t="s">
        <v>143</v>
      </c>
      <c r="Q10" s="1115" t="s">
        <v>143</v>
      </c>
      <c r="R10" s="1305" t="s">
        <v>143</v>
      </c>
      <c r="S10" s="1115" t="s">
        <v>143</v>
      </c>
      <c r="T10" s="1049">
        <v>6368</v>
      </c>
      <c r="U10" s="1115">
        <v>0</v>
      </c>
      <c r="V10" s="1302" t="s">
        <v>143</v>
      </c>
      <c r="W10" s="1304" t="s">
        <v>143</v>
      </c>
      <c r="X10" s="1302" t="s">
        <v>143</v>
      </c>
      <c r="Y10" s="1115" t="s">
        <v>143</v>
      </c>
      <c r="Z10" s="1049" t="s">
        <v>143</v>
      </c>
      <c r="AA10" s="1305" t="s">
        <v>143</v>
      </c>
      <c r="AB10" s="1306">
        <v>30412938</v>
      </c>
      <c r="AC10" s="1307">
        <v>100</v>
      </c>
    </row>
    <row r="11" spans="1:29" ht="15.75" customHeight="1" x14ac:dyDescent="0.2">
      <c r="A11" s="395" t="s">
        <v>148</v>
      </c>
      <c r="B11" s="1283">
        <v>16646319</v>
      </c>
      <c r="C11" s="1016">
        <v>38.6</v>
      </c>
      <c r="D11" s="1023">
        <v>4581534</v>
      </c>
      <c r="E11" s="1016">
        <v>10.6</v>
      </c>
      <c r="F11" s="1023">
        <v>17105709</v>
      </c>
      <c r="G11" s="1017">
        <v>39.700000000000003</v>
      </c>
      <c r="H11" s="1023">
        <v>641877</v>
      </c>
      <c r="I11" s="1017">
        <v>1.5</v>
      </c>
      <c r="J11" s="1023">
        <v>7273</v>
      </c>
      <c r="K11" s="1018">
        <v>0</v>
      </c>
      <c r="L11" s="1132">
        <v>1972090</v>
      </c>
      <c r="M11" s="1016">
        <v>4.5999999999999996</v>
      </c>
      <c r="N11" s="1023">
        <v>0</v>
      </c>
      <c r="O11" s="1016">
        <v>0</v>
      </c>
      <c r="P11" s="1023">
        <v>0</v>
      </c>
      <c r="Q11" s="1016">
        <v>0</v>
      </c>
      <c r="R11" s="1047">
        <v>0</v>
      </c>
      <c r="S11" s="1016">
        <v>0</v>
      </c>
      <c r="T11" s="1023">
        <v>0</v>
      </c>
      <c r="U11" s="1016">
        <v>0</v>
      </c>
      <c r="V11" s="1283">
        <v>2194956</v>
      </c>
      <c r="W11" s="1018">
        <v>5</v>
      </c>
      <c r="X11" s="1283">
        <v>2136288</v>
      </c>
      <c r="Y11" s="1016">
        <v>4.9000000000000004</v>
      </c>
      <c r="Z11" s="1023">
        <v>0</v>
      </c>
      <c r="AA11" s="1047">
        <v>0</v>
      </c>
      <c r="AB11" s="1308">
        <v>43149758</v>
      </c>
      <c r="AC11" s="1309">
        <v>100</v>
      </c>
    </row>
    <row r="12" spans="1:29" ht="15.75" customHeight="1" x14ac:dyDescent="0.2">
      <c r="A12" s="419" t="s">
        <v>149</v>
      </c>
      <c r="B12" s="1114">
        <v>15422607</v>
      </c>
      <c r="C12" s="1115">
        <v>35.299999999999997</v>
      </c>
      <c r="D12" s="1049">
        <v>4397686</v>
      </c>
      <c r="E12" s="1115">
        <v>10.1</v>
      </c>
      <c r="F12" s="1049">
        <v>19541325</v>
      </c>
      <c r="G12" s="1303">
        <v>44.7</v>
      </c>
      <c r="H12" s="1049">
        <v>740229</v>
      </c>
      <c r="I12" s="1303">
        <v>1.7</v>
      </c>
      <c r="J12" s="1049">
        <v>14129</v>
      </c>
      <c r="K12" s="1304">
        <v>0</v>
      </c>
      <c r="L12" s="1114">
        <v>2036560</v>
      </c>
      <c r="M12" s="1115">
        <v>4.7</v>
      </c>
      <c r="N12" s="1049" t="s">
        <v>143</v>
      </c>
      <c r="O12" s="1019" t="s">
        <v>143</v>
      </c>
      <c r="P12" s="1049" t="s">
        <v>143</v>
      </c>
      <c r="Q12" s="1115" t="s">
        <v>143</v>
      </c>
      <c r="R12" s="1048" t="s">
        <v>143</v>
      </c>
      <c r="S12" s="1019" t="s">
        <v>143</v>
      </c>
      <c r="T12" s="1049">
        <v>7426</v>
      </c>
      <c r="U12" s="1115">
        <v>0</v>
      </c>
      <c r="V12" s="1302">
        <v>1545045</v>
      </c>
      <c r="W12" s="1304">
        <v>3.5</v>
      </c>
      <c r="X12" s="1049" t="s">
        <v>143</v>
      </c>
      <c r="Y12" s="1019" t="s">
        <v>143</v>
      </c>
      <c r="Z12" s="1049">
        <v>1512211</v>
      </c>
      <c r="AA12" s="1305">
        <v>3.4</v>
      </c>
      <c r="AB12" s="1306">
        <v>43705007</v>
      </c>
      <c r="AC12" s="1307">
        <v>100</v>
      </c>
    </row>
    <row r="13" spans="1:29" ht="15.75" customHeight="1" x14ac:dyDescent="0.2">
      <c r="A13" s="395" t="s">
        <v>150</v>
      </c>
      <c r="B13" s="1283">
        <f>437679+13206517</f>
        <v>13644196</v>
      </c>
      <c r="C13" s="1016">
        <v>37.5</v>
      </c>
      <c r="D13" s="1023">
        <f>891459+2506280</f>
        <v>3397739</v>
      </c>
      <c r="E13" s="1016">
        <v>9.3000000000000007</v>
      </c>
      <c r="F13" s="1023">
        <v>14738270</v>
      </c>
      <c r="G13" s="1017">
        <v>40.5</v>
      </c>
      <c r="H13" s="1023">
        <v>619634</v>
      </c>
      <c r="I13" s="1017">
        <v>1.7</v>
      </c>
      <c r="J13" s="1023">
        <v>5889</v>
      </c>
      <c r="K13" s="1018">
        <v>0</v>
      </c>
      <c r="L13" s="1132">
        <v>1395213</v>
      </c>
      <c r="M13" s="1016">
        <v>3.8</v>
      </c>
      <c r="N13" s="1023" t="s">
        <v>143</v>
      </c>
      <c r="O13" s="1016" t="s">
        <v>143</v>
      </c>
      <c r="P13" s="1023" t="s">
        <v>143</v>
      </c>
      <c r="Q13" s="1016" t="s">
        <v>143</v>
      </c>
      <c r="R13" s="1047" t="s">
        <v>143</v>
      </c>
      <c r="S13" s="1016" t="s">
        <v>143</v>
      </c>
      <c r="T13" s="1023" t="s">
        <v>143</v>
      </c>
      <c r="U13" s="1016" t="s">
        <v>143</v>
      </c>
      <c r="V13" s="1283">
        <v>2613171</v>
      </c>
      <c r="W13" s="1018">
        <v>7.2</v>
      </c>
      <c r="X13" s="1283">
        <v>2562749</v>
      </c>
      <c r="Y13" s="1016">
        <v>7</v>
      </c>
      <c r="Z13" s="1023" t="s">
        <v>143</v>
      </c>
      <c r="AA13" s="1047" t="s">
        <v>143</v>
      </c>
      <c r="AB13" s="1308">
        <v>36414112</v>
      </c>
      <c r="AC13" s="1309">
        <v>100</v>
      </c>
    </row>
    <row r="14" spans="1:29" ht="15.75" customHeight="1" x14ac:dyDescent="0.2">
      <c r="A14" s="419" t="s">
        <v>151</v>
      </c>
      <c r="B14" s="1302">
        <v>15629433</v>
      </c>
      <c r="C14" s="1115">
        <v>38.299999999999997</v>
      </c>
      <c r="D14" s="1049">
        <v>3234144</v>
      </c>
      <c r="E14" s="1115">
        <v>7.9</v>
      </c>
      <c r="F14" s="1049">
        <v>16477757</v>
      </c>
      <c r="G14" s="1303">
        <v>40.299999999999997</v>
      </c>
      <c r="H14" s="1049">
        <v>754016</v>
      </c>
      <c r="I14" s="1303">
        <v>1.8</v>
      </c>
      <c r="J14" s="1049">
        <v>7778</v>
      </c>
      <c r="K14" s="1304">
        <v>0</v>
      </c>
      <c r="L14" s="1114">
        <v>1939457</v>
      </c>
      <c r="M14" s="1115">
        <v>4.8</v>
      </c>
      <c r="N14" s="1049" t="s">
        <v>143</v>
      </c>
      <c r="O14" s="1115" t="s">
        <v>143</v>
      </c>
      <c r="P14" s="1049">
        <v>0</v>
      </c>
      <c r="Q14" s="1115">
        <v>0</v>
      </c>
      <c r="R14" s="1305" t="s">
        <v>143</v>
      </c>
      <c r="S14" s="1115" t="s">
        <v>143</v>
      </c>
      <c r="T14" s="1049">
        <v>0</v>
      </c>
      <c r="U14" s="1115">
        <v>0</v>
      </c>
      <c r="V14" s="1302">
        <v>2812564</v>
      </c>
      <c r="W14" s="1304">
        <v>6.9</v>
      </c>
      <c r="X14" s="1302">
        <v>2701239</v>
      </c>
      <c r="Y14" s="1115">
        <v>6.6</v>
      </c>
      <c r="Z14" s="1049" t="s">
        <v>143</v>
      </c>
      <c r="AA14" s="1305" t="s">
        <v>143</v>
      </c>
      <c r="AB14" s="1306">
        <v>40855149</v>
      </c>
      <c r="AC14" s="1307">
        <v>100</v>
      </c>
    </row>
    <row r="15" spans="1:29" ht="15.75" customHeight="1" x14ac:dyDescent="0.2">
      <c r="A15" s="395" t="s">
        <v>153</v>
      </c>
      <c r="B15" s="1283">
        <v>17713786</v>
      </c>
      <c r="C15" s="1016">
        <v>34.4</v>
      </c>
      <c r="D15" s="1023">
        <v>4768835</v>
      </c>
      <c r="E15" s="1016">
        <v>9.3000000000000007</v>
      </c>
      <c r="F15" s="1023">
        <v>19648240</v>
      </c>
      <c r="G15" s="1017">
        <v>38.200000000000003</v>
      </c>
      <c r="H15" s="1023">
        <v>796998</v>
      </c>
      <c r="I15" s="1017">
        <v>1.6</v>
      </c>
      <c r="J15" s="1023">
        <v>9874</v>
      </c>
      <c r="K15" s="1018">
        <v>0</v>
      </c>
      <c r="L15" s="1132">
        <v>2950577</v>
      </c>
      <c r="M15" s="1016">
        <v>5.7</v>
      </c>
      <c r="N15" s="1023">
        <v>0</v>
      </c>
      <c r="O15" s="1016">
        <v>0</v>
      </c>
      <c r="P15" s="1023">
        <v>0</v>
      </c>
      <c r="Q15" s="1016">
        <v>0</v>
      </c>
      <c r="R15" s="1047">
        <v>0</v>
      </c>
      <c r="S15" s="1016">
        <v>0</v>
      </c>
      <c r="T15" s="1023">
        <v>0</v>
      </c>
      <c r="U15" s="1016">
        <v>0</v>
      </c>
      <c r="V15" s="1283">
        <v>5575124</v>
      </c>
      <c r="W15" s="1018">
        <v>10.8</v>
      </c>
      <c r="X15" s="1283">
        <v>3504587</v>
      </c>
      <c r="Y15" s="1016">
        <v>6.8</v>
      </c>
      <c r="Z15" s="1023">
        <v>2004793</v>
      </c>
      <c r="AA15" s="1047">
        <v>3.9</v>
      </c>
      <c r="AB15" s="1308">
        <v>51463434</v>
      </c>
      <c r="AC15" s="1309">
        <v>100</v>
      </c>
    </row>
    <row r="16" spans="1:29" ht="15.75" customHeight="1" x14ac:dyDescent="0.2">
      <c r="A16" s="419" t="s">
        <v>154</v>
      </c>
      <c r="B16" s="1302">
        <v>16784408</v>
      </c>
      <c r="C16" s="1115">
        <v>33.1</v>
      </c>
      <c r="D16" s="1049">
        <v>4086973</v>
      </c>
      <c r="E16" s="1115">
        <v>8.1</v>
      </c>
      <c r="F16" s="1049">
        <v>20535973</v>
      </c>
      <c r="G16" s="1303">
        <v>40.5</v>
      </c>
      <c r="H16" s="1049">
        <v>869637</v>
      </c>
      <c r="I16" s="1303">
        <v>1.7</v>
      </c>
      <c r="J16" s="1049">
        <v>15918</v>
      </c>
      <c r="K16" s="1304">
        <v>0</v>
      </c>
      <c r="L16" s="1114">
        <v>2818189</v>
      </c>
      <c r="M16" s="1115">
        <v>5.6</v>
      </c>
      <c r="N16" s="1049" t="s">
        <v>143</v>
      </c>
      <c r="O16" s="1115" t="s">
        <v>143</v>
      </c>
      <c r="P16" s="1049" t="s">
        <v>143</v>
      </c>
      <c r="Q16" s="1115" t="s">
        <v>143</v>
      </c>
      <c r="R16" s="1305" t="s">
        <v>143</v>
      </c>
      <c r="S16" s="1115" t="s">
        <v>143</v>
      </c>
      <c r="T16" s="1049">
        <v>2</v>
      </c>
      <c r="U16" s="1115">
        <v>0</v>
      </c>
      <c r="V16" s="1302">
        <v>5586810</v>
      </c>
      <c r="W16" s="1304">
        <v>11</v>
      </c>
      <c r="X16" s="1302">
        <v>3149592</v>
      </c>
      <c r="Y16" s="1115">
        <v>6.2</v>
      </c>
      <c r="Z16" s="1049">
        <v>2346940</v>
      </c>
      <c r="AA16" s="1305">
        <v>4.5999999999999996</v>
      </c>
      <c r="AB16" s="1306">
        <v>50697910</v>
      </c>
      <c r="AC16" s="1307">
        <v>100</v>
      </c>
    </row>
    <row r="17" spans="1:29" ht="15.75" customHeight="1" x14ac:dyDescent="0.2">
      <c r="A17" s="395" t="s">
        <v>155</v>
      </c>
      <c r="B17" s="1310">
        <v>16644047</v>
      </c>
      <c r="C17" s="1311">
        <v>39.5</v>
      </c>
      <c r="D17" s="1312">
        <v>4986659</v>
      </c>
      <c r="E17" s="1104">
        <v>11.8</v>
      </c>
      <c r="F17" s="1090">
        <v>16303858</v>
      </c>
      <c r="G17" s="1024">
        <v>38.700000000000003</v>
      </c>
      <c r="H17" s="1090">
        <v>633004</v>
      </c>
      <c r="I17" s="1024">
        <v>1.5</v>
      </c>
      <c r="J17" s="1090">
        <v>6099</v>
      </c>
      <c r="K17" s="1299">
        <v>0</v>
      </c>
      <c r="L17" s="1103">
        <v>1931502</v>
      </c>
      <c r="M17" s="1104">
        <v>4.5999999999999996</v>
      </c>
      <c r="N17" s="1090" t="s">
        <v>143</v>
      </c>
      <c r="O17" s="1090" t="s">
        <v>143</v>
      </c>
      <c r="P17" s="1090" t="s">
        <v>143</v>
      </c>
      <c r="Q17" s="1104" t="s">
        <v>143</v>
      </c>
      <c r="R17" s="1297" t="s">
        <v>143</v>
      </c>
      <c r="S17" s="1104" t="s">
        <v>143</v>
      </c>
      <c r="T17" s="1090" t="s">
        <v>143</v>
      </c>
      <c r="U17" s="1104" t="s">
        <v>143</v>
      </c>
      <c r="V17" s="1178">
        <v>1663773</v>
      </c>
      <c r="W17" s="1299">
        <v>3.9</v>
      </c>
      <c r="X17" s="1178">
        <v>1663435</v>
      </c>
      <c r="Y17" s="1104">
        <v>3.9</v>
      </c>
      <c r="Z17" s="1090" t="s">
        <v>143</v>
      </c>
      <c r="AA17" s="1297" t="s">
        <v>143</v>
      </c>
      <c r="AB17" s="1313">
        <v>42168942</v>
      </c>
      <c r="AC17" s="1301">
        <v>100</v>
      </c>
    </row>
    <row r="18" spans="1:29" ht="15.75" customHeight="1" x14ac:dyDescent="0.2">
      <c r="A18" s="419" t="s">
        <v>157</v>
      </c>
      <c r="B18" s="1302">
        <v>33908821</v>
      </c>
      <c r="C18" s="1115">
        <v>36.4</v>
      </c>
      <c r="D18" s="1049">
        <v>9472592</v>
      </c>
      <c r="E18" s="1115">
        <v>10.199999999999999</v>
      </c>
      <c r="F18" s="1049">
        <v>36031379</v>
      </c>
      <c r="G18" s="1303">
        <v>38.700000000000003</v>
      </c>
      <c r="H18" s="1049">
        <v>1125004</v>
      </c>
      <c r="I18" s="1303">
        <v>1.2</v>
      </c>
      <c r="J18" s="1049">
        <v>9779</v>
      </c>
      <c r="K18" s="1304">
        <v>0</v>
      </c>
      <c r="L18" s="1114">
        <v>3581385</v>
      </c>
      <c r="M18" s="1115">
        <v>3.9</v>
      </c>
      <c r="N18" s="1049" t="s">
        <v>143</v>
      </c>
      <c r="O18" s="1019" t="s">
        <v>143</v>
      </c>
      <c r="P18" s="1049" t="s">
        <v>143</v>
      </c>
      <c r="Q18" s="1115" t="s">
        <v>143</v>
      </c>
      <c r="R18" s="1048" t="s">
        <v>143</v>
      </c>
      <c r="S18" s="1019" t="s">
        <v>143</v>
      </c>
      <c r="T18" s="1049">
        <v>19</v>
      </c>
      <c r="U18" s="1115">
        <v>0</v>
      </c>
      <c r="V18" s="1302">
        <v>8946390</v>
      </c>
      <c r="W18" s="1304">
        <v>9.6</v>
      </c>
      <c r="X18" s="1302">
        <v>5352091</v>
      </c>
      <c r="Y18" s="1019">
        <v>5.8</v>
      </c>
      <c r="Z18" s="1049">
        <v>3566660</v>
      </c>
      <c r="AA18" s="1115">
        <v>3.8</v>
      </c>
      <c r="AB18" s="1306">
        <v>93075369</v>
      </c>
      <c r="AC18" s="1307">
        <v>100</v>
      </c>
    </row>
    <row r="19" spans="1:29" ht="15.75" customHeight="1" x14ac:dyDescent="0.2">
      <c r="A19" s="395" t="s">
        <v>158</v>
      </c>
      <c r="B19" s="1178">
        <v>19413763</v>
      </c>
      <c r="C19" s="1104">
        <v>35.9</v>
      </c>
      <c r="D19" s="1090">
        <v>4985068</v>
      </c>
      <c r="E19" s="1104">
        <v>9.1999999999999993</v>
      </c>
      <c r="F19" s="1090">
        <v>22542791</v>
      </c>
      <c r="G19" s="1024">
        <v>41.6</v>
      </c>
      <c r="H19" s="1090">
        <v>904098</v>
      </c>
      <c r="I19" s="1024">
        <v>1.7</v>
      </c>
      <c r="J19" s="1090">
        <v>8421</v>
      </c>
      <c r="K19" s="1299">
        <v>0</v>
      </c>
      <c r="L19" s="1103">
        <v>2137979</v>
      </c>
      <c r="M19" s="1104">
        <v>3.9</v>
      </c>
      <c r="N19" s="1090">
        <v>0</v>
      </c>
      <c r="O19" s="1090">
        <v>0</v>
      </c>
      <c r="P19" s="1090">
        <v>0</v>
      </c>
      <c r="Q19" s="1104">
        <v>0</v>
      </c>
      <c r="R19" s="1297">
        <v>0</v>
      </c>
      <c r="S19" s="1104">
        <v>0</v>
      </c>
      <c r="T19" s="1090">
        <v>0</v>
      </c>
      <c r="U19" s="1104">
        <v>0</v>
      </c>
      <c r="V19" s="1178">
        <v>4160269</v>
      </c>
      <c r="W19" s="1299">
        <v>7.7</v>
      </c>
      <c r="X19" s="1178">
        <v>2127632</v>
      </c>
      <c r="Y19" s="1104">
        <v>3.9</v>
      </c>
      <c r="Z19" s="1090">
        <v>1976025</v>
      </c>
      <c r="AA19" s="1104">
        <v>3.7</v>
      </c>
      <c r="AB19" s="1300">
        <v>54152389</v>
      </c>
      <c r="AC19" s="1301">
        <v>100</v>
      </c>
    </row>
    <row r="20" spans="1:29" ht="15.75" customHeight="1" x14ac:dyDescent="0.2">
      <c r="A20" s="419" t="s">
        <v>159</v>
      </c>
      <c r="B20" s="1302">
        <v>21775334</v>
      </c>
      <c r="C20" s="1115">
        <v>34.799999999999997</v>
      </c>
      <c r="D20" s="1049">
        <v>6524934</v>
      </c>
      <c r="E20" s="1115">
        <v>10.4</v>
      </c>
      <c r="F20" s="1049">
        <v>25363420</v>
      </c>
      <c r="G20" s="1303">
        <v>40.6</v>
      </c>
      <c r="H20" s="1049">
        <v>955780</v>
      </c>
      <c r="I20" s="1303">
        <v>1.5</v>
      </c>
      <c r="J20" s="1049">
        <v>9855</v>
      </c>
      <c r="K20" s="1304">
        <v>0</v>
      </c>
      <c r="L20" s="1114">
        <v>2363779</v>
      </c>
      <c r="M20" s="1115">
        <v>3.8</v>
      </c>
      <c r="N20" s="1049" t="s">
        <v>143</v>
      </c>
      <c r="O20" s="1049" t="s">
        <v>143</v>
      </c>
      <c r="P20" s="1049" t="s">
        <v>143</v>
      </c>
      <c r="Q20" s="1115" t="s">
        <v>143</v>
      </c>
      <c r="R20" s="1049" t="s">
        <v>143</v>
      </c>
      <c r="S20" s="1115" t="s">
        <v>143</v>
      </c>
      <c r="T20" s="1049" t="s">
        <v>143</v>
      </c>
      <c r="U20" s="1115" t="s">
        <v>143</v>
      </c>
      <c r="V20" s="1302">
        <v>5546251</v>
      </c>
      <c r="W20" s="1304">
        <v>8.9</v>
      </c>
      <c r="X20" s="1302">
        <v>2966807</v>
      </c>
      <c r="Y20" s="1115">
        <v>4.7</v>
      </c>
      <c r="Z20" s="1049">
        <v>2540517</v>
      </c>
      <c r="AA20" s="1115">
        <v>4.0999999999999996</v>
      </c>
      <c r="AB20" s="1306">
        <v>62539353</v>
      </c>
      <c r="AC20" s="1307">
        <v>100</v>
      </c>
    </row>
    <row r="21" spans="1:29" ht="15.75" customHeight="1" x14ac:dyDescent="0.2">
      <c r="A21" s="395" t="s">
        <v>163</v>
      </c>
      <c r="B21" s="1178">
        <v>21890884</v>
      </c>
      <c r="C21" s="1104">
        <v>37.799999999999997</v>
      </c>
      <c r="D21" s="1090">
        <v>4633017</v>
      </c>
      <c r="E21" s="1104">
        <v>8</v>
      </c>
      <c r="F21" s="1090">
        <v>22880683</v>
      </c>
      <c r="G21" s="1024">
        <v>39.5</v>
      </c>
      <c r="H21" s="1090">
        <v>592345</v>
      </c>
      <c r="I21" s="1024">
        <v>1</v>
      </c>
      <c r="J21" s="1090">
        <v>5729</v>
      </c>
      <c r="K21" s="1299">
        <v>0</v>
      </c>
      <c r="L21" s="1103">
        <v>2047042</v>
      </c>
      <c r="M21" s="1104">
        <v>3.6</v>
      </c>
      <c r="N21" s="1090" t="s">
        <v>143</v>
      </c>
      <c r="O21" s="1090" t="s">
        <v>143</v>
      </c>
      <c r="P21" s="1090" t="s">
        <v>143</v>
      </c>
      <c r="Q21" s="1104" t="s">
        <v>143</v>
      </c>
      <c r="R21" s="1297" t="s">
        <v>143</v>
      </c>
      <c r="S21" s="1104" t="s">
        <v>143</v>
      </c>
      <c r="T21" s="1090" t="s">
        <v>143</v>
      </c>
      <c r="U21" s="1104" t="s">
        <v>143</v>
      </c>
      <c r="V21" s="1178">
        <v>5838569</v>
      </c>
      <c r="W21" s="1299">
        <v>10.1</v>
      </c>
      <c r="X21" s="1178">
        <v>4165413</v>
      </c>
      <c r="Y21" s="1104">
        <v>7.2</v>
      </c>
      <c r="Z21" s="1090">
        <v>1672632</v>
      </c>
      <c r="AA21" s="1104">
        <v>2.9</v>
      </c>
      <c r="AB21" s="1300">
        <v>57888269</v>
      </c>
      <c r="AC21" s="1301">
        <v>100</v>
      </c>
    </row>
    <row r="22" spans="1:29" ht="15.75" customHeight="1" x14ac:dyDescent="0.2">
      <c r="A22" s="419" t="s">
        <v>166</v>
      </c>
      <c r="B22" s="1302">
        <v>40044829</v>
      </c>
      <c r="C22" s="1115">
        <v>41</v>
      </c>
      <c r="D22" s="1049">
        <v>4954891</v>
      </c>
      <c r="E22" s="1115">
        <v>5.0999999999999996</v>
      </c>
      <c r="F22" s="1049">
        <v>37656322</v>
      </c>
      <c r="G22" s="1303">
        <v>38.700000000000003</v>
      </c>
      <c r="H22" s="1049">
        <v>625794</v>
      </c>
      <c r="I22" s="1303">
        <v>0.7</v>
      </c>
      <c r="J22" s="1049">
        <v>8039</v>
      </c>
      <c r="K22" s="1304">
        <v>0</v>
      </c>
      <c r="L22" s="1114">
        <v>3889767</v>
      </c>
      <c r="M22" s="1115">
        <v>4</v>
      </c>
      <c r="N22" s="1058" t="s">
        <v>143</v>
      </c>
      <c r="O22" s="1058" t="s">
        <v>143</v>
      </c>
      <c r="P22" s="1058" t="s">
        <v>143</v>
      </c>
      <c r="Q22" s="1025" t="s">
        <v>143</v>
      </c>
      <c r="R22" s="1314" t="s">
        <v>143</v>
      </c>
      <c r="S22" s="1025" t="s">
        <v>143</v>
      </c>
      <c r="T22" s="1058" t="s">
        <v>143</v>
      </c>
      <c r="U22" s="1025" t="s">
        <v>143</v>
      </c>
      <c r="V22" s="1302">
        <f>+X22+Z22</f>
        <v>10234903</v>
      </c>
      <c r="W22" s="1304">
        <f>+Y22+AA22</f>
        <v>10.5</v>
      </c>
      <c r="X22" s="1302">
        <v>8802915</v>
      </c>
      <c r="Y22" s="1115">
        <v>9</v>
      </c>
      <c r="Z22" s="1049">
        <v>1431988</v>
      </c>
      <c r="AA22" s="1115">
        <v>1.5</v>
      </c>
      <c r="AB22" s="1306">
        <f>SUBTOTAL(9,B22,D22,F22,H22,J22,L22,N22,P22,R22,T22,V22)</f>
        <v>97414545</v>
      </c>
      <c r="AC22" s="1307">
        <f>SUBTOTAL(9,C22,E22,G22,I22,K22,M22,O22,Q22,S22,U22,W22)</f>
        <v>100.00000000000001</v>
      </c>
    </row>
    <row r="23" spans="1:29" ht="15.75" customHeight="1" x14ac:dyDescent="0.2">
      <c r="A23" s="395" t="s">
        <v>167</v>
      </c>
      <c r="B23" s="1178">
        <v>21688456</v>
      </c>
      <c r="C23" s="1104">
        <v>43.8</v>
      </c>
      <c r="D23" s="1090">
        <v>3228130</v>
      </c>
      <c r="E23" s="1104">
        <v>6.5</v>
      </c>
      <c r="F23" s="1090">
        <v>18777750</v>
      </c>
      <c r="G23" s="1024">
        <v>37.9</v>
      </c>
      <c r="H23" s="1090">
        <v>416732</v>
      </c>
      <c r="I23" s="1024">
        <v>0.8</v>
      </c>
      <c r="J23" s="1090">
        <v>4994</v>
      </c>
      <c r="K23" s="1299">
        <v>0</v>
      </c>
      <c r="L23" s="1103">
        <v>2258974</v>
      </c>
      <c r="M23" s="1104">
        <v>4.5999999999999996</v>
      </c>
      <c r="N23" s="1090" t="s">
        <v>143</v>
      </c>
      <c r="O23" s="1090" t="s">
        <v>143</v>
      </c>
      <c r="P23" s="1090" t="s">
        <v>143</v>
      </c>
      <c r="Q23" s="1104" t="s">
        <v>143</v>
      </c>
      <c r="R23" s="1297" t="s">
        <v>143</v>
      </c>
      <c r="S23" s="1104" t="s">
        <v>143</v>
      </c>
      <c r="T23" s="1090" t="s">
        <v>143</v>
      </c>
      <c r="U23" s="1104" t="s">
        <v>143</v>
      </c>
      <c r="V23" s="1178">
        <v>3191254</v>
      </c>
      <c r="W23" s="1299">
        <v>6.4</v>
      </c>
      <c r="X23" s="1178">
        <v>2442958</v>
      </c>
      <c r="Y23" s="1104">
        <v>4.9000000000000004</v>
      </c>
      <c r="Z23" s="1090">
        <v>748296</v>
      </c>
      <c r="AA23" s="1104">
        <v>1.5</v>
      </c>
      <c r="AB23" s="1300">
        <v>49566290</v>
      </c>
      <c r="AC23" s="1301">
        <v>100</v>
      </c>
    </row>
    <row r="24" spans="1:29" ht="15.75" customHeight="1" x14ac:dyDescent="0.2">
      <c r="A24" s="419" t="s">
        <v>168</v>
      </c>
      <c r="B24" s="1315">
        <v>45232996</v>
      </c>
      <c r="C24" s="1025">
        <v>44.5</v>
      </c>
      <c r="D24" s="1058">
        <v>6034218</v>
      </c>
      <c r="E24" s="1025">
        <v>5.9</v>
      </c>
      <c r="F24" s="1058">
        <v>36623010</v>
      </c>
      <c r="G24" s="1026">
        <v>36</v>
      </c>
      <c r="H24" s="1058">
        <v>581150</v>
      </c>
      <c r="I24" s="1026">
        <v>0.6</v>
      </c>
      <c r="J24" s="1058">
        <v>6826</v>
      </c>
      <c r="K24" s="1316">
        <v>0</v>
      </c>
      <c r="L24" s="1125">
        <v>3592335</v>
      </c>
      <c r="M24" s="1025">
        <v>3.5</v>
      </c>
      <c r="N24" s="1058">
        <v>0</v>
      </c>
      <c r="O24" s="1058">
        <v>0</v>
      </c>
      <c r="P24" s="1058">
        <v>0</v>
      </c>
      <c r="Q24" s="1025">
        <v>0</v>
      </c>
      <c r="R24" s="1314">
        <v>0</v>
      </c>
      <c r="S24" s="1025">
        <v>0</v>
      </c>
      <c r="T24" s="1058">
        <v>0</v>
      </c>
      <c r="U24" s="1025">
        <v>0</v>
      </c>
      <c r="V24" s="1315">
        <v>9666903</v>
      </c>
      <c r="W24" s="1316">
        <v>9.5</v>
      </c>
      <c r="X24" s="1315">
        <v>7681140</v>
      </c>
      <c r="Y24" s="1025">
        <v>7.6</v>
      </c>
      <c r="Z24" s="1049">
        <v>1980493</v>
      </c>
      <c r="AA24" s="1115">
        <v>1.9</v>
      </c>
      <c r="AB24" s="1306">
        <v>101737438</v>
      </c>
      <c r="AC24" s="1317">
        <v>100</v>
      </c>
    </row>
    <row r="25" spans="1:29" ht="15.75" customHeight="1" x14ac:dyDescent="0.2">
      <c r="A25" s="395" t="s">
        <v>171</v>
      </c>
      <c r="B25" s="1178">
        <v>28876192</v>
      </c>
      <c r="C25" s="1104">
        <v>42.081028553994372</v>
      </c>
      <c r="D25" s="1090">
        <v>4227484</v>
      </c>
      <c r="E25" s="1104">
        <v>6.1606764117496633</v>
      </c>
      <c r="F25" s="1090">
        <v>25704877</v>
      </c>
      <c r="G25" s="1024">
        <v>37.4</v>
      </c>
      <c r="H25" s="1090">
        <v>517883</v>
      </c>
      <c r="I25" s="1024">
        <v>0.75470648313421196</v>
      </c>
      <c r="J25" s="1090">
        <v>5210</v>
      </c>
      <c r="K25" s="1299">
        <v>7.5924886067494863E-3</v>
      </c>
      <c r="L25" s="1103">
        <v>2438963</v>
      </c>
      <c r="M25" s="1104">
        <v>3.5</v>
      </c>
      <c r="N25" s="1318" t="s">
        <v>143</v>
      </c>
      <c r="O25" s="1318" t="s">
        <v>143</v>
      </c>
      <c r="P25" s="1318" t="s">
        <v>143</v>
      </c>
      <c r="Q25" s="1318" t="s">
        <v>143</v>
      </c>
      <c r="R25" s="1318" t="s">
        <v>143</v>
      </c>
      <c r="S25" s="1318" t="s">
        <v>143</v>
      </c>
      <c r="T25" s="1318" t="s">
        <v>143</v>
      </c>
      <c r="U25" s="1318" t="s">
        <v>143</v>
      </c>
      <c r="V25" s="1178">
        <v>6849843</v>
      </c>
      <c r="W25" s="1299">
        <v>9.9822178379122306</v>
      </c>
      <c r="X25" s="1178">
        <v>5349195</v>
      </c>
      <c r="Y25" s="1104">
        <v>7.7953362941998687</v>
      </c>
      <c r="Z25" s="1090">
        <v>1500648</v>
      </c>
      <c r="AA25" s="1104">
        <v>2.1868815437123614</v>
      </c>
      <c r="AB25" s="1300">
        <v>68620452</v>
      </c>
      <c r="AC25" s="1301">
        <v>100</v>
      </c>
    </row>
    <row r="26" spans="1:29" ht="15.75" customHeight="1" x14ac:dyDescent="0.2">
      <c r="A26" s="419" t="s">
        <v>172</v>
      </c>
      <c r="B26" s="1302">
        <v>36738159</v>
      </c>
      <c r="C26" s="1115">
        <v>40.1</v>
      </c>
      <c r="D26" s="1049">
        <v>5617010</v>
      </c>
      <c r="E26" s="1115">
        <v>6.1</v>
      </c>
      <c r="F26" s="1049">
        <v>36149531</v>
      </c>
      <c r="G26" s="1303">
        <v>39.5</v>
      </c>
      <c r="H26" s="1049">
        <v>740328</v>
      </c>
      <c r="I26" s="1303">
        <v>0.8</v>
      </c>
      <c r="J26" s="1049">
        <v>9130</v>
      </c>
      <c r="K26" s="1304">
        <v>0</v>
      </c>
      <c r="L26" s="1114">
        <v>3202880</v>
      </c>
      <c r="M26" s="1115">
        <v>3.5</v>
      </c>
      <c r="N26" s="1049" t="s">
        <v>143</v>
      </c>
      <c r="O26" s="1049" t="s">
        <v>143</v>
      </c>
      <c r="P26" s="1049" t="s">
        <v>143</v>
      </c>
      <c r="Q26" s="1115" t="s">
        <v>143</v>
      </c>
      <c r="R26" s="1305" t="s">
        <v>143</v>
      </c>
      <c r="S26" s="1115" t="s">
        <v>143</v>
      </c>
      <c r="T26" s="1049" t="s">
        <v>143</v>
      </c>
      <c r="U26" s="1115" t="s">
        <v>143</v>
      </c>
      <c r="V26" s="1302">
        <v>9173667</v>
      </c>
      <c r="W26" s="1304">
        <v>10</v>
      </c>
      <c r="X26" s="1302">
        <v>7038201</v>
      </c>
      <c r="Y26" s="1115">
        <v>7.7</v>
      </c>
      <c r="Z26" s="1049">
        <v>2135466</v>
      </c>
      <c r="AA26" s="1115">
        <v>2.2999999999999998</v>
      </c>
      <c r="AB26" s="1306">
        <v>91630705</v>
      </c>
      <c r="AC26" s="1307">
        <v>100</v>
      </c>
    </row>
    <row r="27" spans="1:29" ht="15.75" customHeight="1" x14ac:dyDescent="0.2">
      <c r="A27" s="395" t="s">
        <v>173</v>
      </c>
      <c r="B27" s="1178">
        <v>23462247</v>
      </c>
      <c r="C27" s="1104">
        <f>B27/$AB27*100</f>
        <v>39.159349318064187</v>
      </c>
      <c r="D27" s="1090">
        <v>4164400</v>
      </c>
      <c r="E27" s="1104">
        <f>D27/$AB27*100</f>
        <v>6.9505360803739942</v>
      </c>
      <c r="F27" s="1090">
        <v>22868226</v>
      </c>
      <c r="G27" s="1024">
        <f>F27/$AB27*100</f>
        <v>38.167906518861457</v>
      </c>
      <c r="H27" s="1090">
        <v>535637</v>
      </c>
      <c r="I27" s="1024">
        <f>H27/$AB27*100</f>
        <v>0.89399776546039889</v>
      </c>
      <c r="J27" s="1090">
        <v>6682</v>
      </c>
      <c r="K27" s="1299">
        <f>J27/$AB27*100</f>
        <v>1.1152502662822741E-2</v>
      </c>
      <c r="L27" s="1103">
        <v>2663031</v>
      </c>
      <c r="M27" s="1104">
        <f>L27/$AB27*100</f>
        <v>4.4446962464351261</v>
      </c>
      <c r="N27" s="1090" t="s">
        <v>143</v>
      </c>
      <c r="O27" s="1318" t="s">
        <v>143</v>
      </c>
      <c r="P27" s="1318">
        <v>600</v>
      </c>
      <c r="Q27" s="1318">
        <f>P27/$AB27*100</f>
        <v>1.0014219691250592E-3</v>
      </c>
      <c r="R27" s="1318" t="s">
        <v>143</v>
      </c>
      <c r="S27" s="1318" t="s">
        <v>143</v>
      </c>
      <c r="T27" s="1318" t="s">
        <v>143</v>
      </c>
      <c r="U27" s="1318" t="s">
        <v>143</v>
      </c>
      <c r="V27" s="1178">
        <v>6213980</v>
      </c>
      <c r="W27" s="1299">
        <v>10.3</v>
      </c>
      <c r="X27" s="1178">
        <v>4638617</v>
      </c>
      <c r="Y27" s="1104">
        <f>X27/$AB27*100</f>
        <v>7.7420216169282909</v>
      </c>
      <c r="Z27" s="1090">
        <v>1575363</v>
      </c>
      <c r="AA27" s="1104">
        <f>Z27/$AB27*100</f>
        <v>2.6293385292446008</v>
      </c>
      <c r="AB27" s="1300">
        <v>59914803</v>
      </c>
      <c r="AC27" s="1301">
        <f>AB27/$AB27*100</f>
        <v>100</v>
      </c>
    </row>
    <row r="28" spans="1:29" ht="15.75" customHeight="1" x14ac:dyDescent="0.2">
      <c r="A28" s="419" t="s">
        <v>174</v>
      </c>
      <c r="B28" s="1302">
        <v>24829793</v>
      </c>
      <c r="C28" s="1115">
        <v>33.200000000000003</v>
      </c>
      <c r="D28" s="1049">
        <v>7399641</v>
      </c>
      <c r="E28" s="1115">
        <v>9.9</v>
      </c>
      <c r="F28" s="1049">
        <v>31074729</v>
      </c>
      <c r="G28" s="1303">
        <v>41.5</v>
      </c>
      <c r="H28" s="1049">
        <v>1091535</v>
      </c>
      <c r="I28" s="1303">
        <v>1.4</v>
      </c>
      <c r="J28" s="1049">
        <v>8971</v>
      </c>
      <c r="K28" s="1304">
        <v>0.1</v>
      </c>
      <c r="L28" s="1114">
        <v>2714250</v>
      </c>
      <c r="M28" s="1115">
        <v>3.6</v>
      </c>
      <c r="N28" s="1049" t="s">
        <v>143</v>
      </c>
      <c r="O28" s="1049" t="s">
        <v>143</v>
      </c>
      <c r="P28" s="1049" t="s">
        <v>143</v>
      </c>
      <c r="Q28" s="1115" t="s">
        <v>143</v>
      </c>
      <c r="R28" s="1305" t="s">
        <v>143</v>
      </c>
      <c r="S28" s="1115" t="s">
        <v>143</v>
      </c>
      <c r="T28" s="1049" t="s">
        <v>143</v>
      </c>
      <c r="U28" s="1115" t="s">
        <v>143</v>
      </c>
      <c r="V28" s="1302">
        <v>7727711</v>
      </c>
      <c r="W28" s="1304">
        <v>10.3</v>
      </c>
      <c r="X28" s="1302">
        <v>4012453</v>
      </c>
      <c r="Y28" s="1115">
        <v>5.4</v>
      </c>
      <c r="Z28" s="1049">
        <v>3617205</v>
      </c>
      <c r="AA28" s="1115">
        <v>4.8</v>
      </c>
      <c r="AB28" s="1306">
        <v>74846630</v>
      </c>
      <c r="AC28" s="1307">
        <v>100</v>
      </c>
    </row>
    <row r="29" spans="1:29" ht="15.75" customHeight="1" x14ac:dyDescent="0.2">
      <c r="A29" s="395" t="s">
        <v>175</v>
      </c>
      <c r="B29" s="1178">
        <v>28611688</v>
      </c>
      <c r="C29" s="1104">
        <v>34.200000000000003</v>
      </c>
      <c r="D29" s="1090">
        <v>9804473</v>
      </c>
      <c r="E29" s="1104">
        <v>11.7</v>
      </c>
      <c r="F29" s="1090">
        <v>31310854</v>
      </c>
      <c r="G29" s="1024">
        <v>37.5</v>
      </c>
      <c r="H29" s="1090">
        <v>1006496</v>
      </c>
      <c r="I29" s="1024">
        <v>1.2</v>
      </c>
      <c r="J29" s="1090">
        <v>10252</v>
      </c>
      <c r="K29" s="1299">
        <v>0</v>
      </c>
      <c r="L29" s="1103">
        <v>3152520</v>
      </c>
      <c r="M29" s="1104">
        <v>3.8</v>
      </c>
      <c r="N29" s="1090" t="s">
        <v>143</v>
      </c>
      <c r="O29" s="1090" t="s">
        <v>143</v>
      </c>
      <c r="P29" s="1090" t="s">
        <v>143</v>
      </c>
      <c r="Q29" s="1104" t="s">
        <v>143</v>
      </c>
      <c r="R29" s="1297" t="s">
        <v>143</v>
      </c>
      <c r="S29" s="1090" t="s">
        <v>143</v>
      </c>
      <c r="T29" s="1090" t="s">
        <v>143</v>
      </c>
      <c r="U29" s="1090" t="s">
        <v>143</v>
      </c>
      <c r="V29" s="1178">
        <v>9745485</v>
      </c>
      <c r="W29" s="1299">
        <v>11.6</v>
      </c>
      <c r="X29" s="1178">
        <v>6376143</v>
      </c>
      <c r="Y29" s="1104">
        <v>7.6</v>
      </c>
      <c r="Z29" s="1090">
        <v>2568657</v>
      </c>
      <c r="AA29" s="1104">
        <v>3.1</v>
      </c>
      <c r="AB29" s="1300">
        <v>83641768</v>
      </c>
      <c r="AC29" s="1301">
        <v>100</v>
      </c>
    </row>
    <row r="30" spans="1:29" ht="15.75" customHeight="1" x14ac:dyDescent="0.2">
      <c r="A30" s="419" t="s">
        <v>251</v>
      </c>
      <c r="B30" s="1302">
        <v>15901783</v>
      </c>
      <c r="C30" s="1115">
        <v>35.1</v>
      </c>
      <c r="D30" s="1049">
        <v>4509132</v>
      </c>
      <c r="E30" s="1115">
        <v>10</v>
      </c>
      <c r="F30" s="1049">
        <v>18908708</v>
      </c>
      <c r="G30" s="1303">
        <v>41.8</v>
      </c>
      <c r="H30" s="1049">
        <v>691754</v>
      </c>
      <c r="I30" s="1303">
        <v>1.5</v>
      </c>
      <c r="J30" s="1049">
        <v>9373</v>
      </c>
      <c r="K30" s="1304">
        <v>0</v>
      </c>
      <c r="L30" s="1114">
        <v>1903906</v>
      </c>
      <c r="M30" s="1115">
        <v>4.2</v>
      </c>
      <c r="N30" s="1049">
        <v>0</v>
      </c>
      <c r="O30" s="1049">
        <v>0</v>
      </c>
      <c r="P30" s="1049">
        <v>1603</v>
      </c>
      <c r="Q30" s="1115">
        <v>0</v>
      </c>
      <c r="R30" s="1305">
        <v>0</v>
      </c>
      <c r="S30" s="1115">
        <v>0</v>
      </c>
      <c r="T30" s="1049">
        <v>0</v>
      </c>
      <c r="U30" s="1115">
        <v>0</v>
      </c>
      <c r="V30" s="1302">
        <v>3358202</v>
      </c>
      <c r="W30" s="1304">
        <v>7.4</v>
      </c>
      <c r="X30" s="1302">
        <v>3286929</v>
      </c>
      <c r="Y30" s="1115">
        <v>7.3</v>
      </c>
      <c r="Z30" s="1049">
        <v>71273</v>
      </c>
      <c r="AA30" s="1115">
        <v>0.2</v>
      </c>
      <c r="AB30" s="1306">
        <v>45284461</v>
      </c>
      <c r="AC30" s="1307">
        <v>100</v>
      </c>
    </row>
    <row r="31" spans="1:29" ht="15.75" customHeight="1" x14ac:dyDescent="0.2">
      <c r="A31" s="395" t="s">
        <v>178</v>
      </c>
      <c r="B31" s="1178">
        <v>10774524</v>
      </c>
      <c r="C31" s="1104">
        <v>36.9</v>
      </c>
      <c r="D31" s="1090">
        <v>3108565</v>
      </c>
      <c r="E31" s="1104">
        <v>10.6</v>
      </c>
      <c r="F31" s="1090">
        <v>11548723</v>
      </c>
      <c r="G31" s="1024">
        <v>39.5</v>
      </c>
      <c r="H31" s="1090">
        <v>537446</v>
      </c>
      <c r="I31" s="1024">
        <v>1.8</v>
      </c>
      <c r="J31" s="1090">
        <v>4643</v>
      </c>
      <c r="K31" s="1299">
        <v>0</v>
      </c>
      <c r="L31" s="1103">
        <v>1268900</v>
      </c>
      <c r="M31" s="1104">
        <v>4.4000000000000004</v>
      </c>
      <c r="N31" s="1027" t="s">
        <v>143</v>
      </c>
      <c r="O31" s="1027" t="s">
        <v>143</v>
      </c>
      <c r="P31" s="1027" t="s">
        <v>143</v>
      </c>
      <c r="Q31" s="1027" t="s">
        <v>143</v>
      </c>
      <c r="R31" s="1027" t="s">
        <v>143</v>
      </c>
      <c r="S31" s="1027" t="s">
        <v>143</v>
      </c>
      <c r="T31" s="1027" t="s">
        <v>143</v>
      </c>
      <c r="U31" s="1027" t="s">
        <v>143</v>
      </c>
      <c r="V31" s="1178">
        <v>1999866</v>
      </c>
      <c r="W31" s="1299">
        <v>6.8</v>
      </c>
      <c r="X31" s="1178">
        <v>1976185</v>
      </c>
      <c r="Y31" s="1104">
        <v>6.8</v>
      </c>
      <c r="Z31" s="1090" t="s">
        <v>143</v>
      </c>
      <c r="AA31" s="1104" t="s">
        <v>143</v>
      </c>
      <c r="AB31" s="1300">
        <v>29242667</v>
      </c>
      <c r="AC31" s="1301">
        <v>100</v>
      </c>
    </row>
    <row r="32" spans="1:29" ht="15.75" customHeight="1" x14ac:dyDescent="0.2">
      <c r="A32" s="419" t="s">
        <v>179</v>
      </c>
      <c r="B32" s="1302">
        <v>20981735</v>
      </c>
      <c r="C32" s="1115">
        <v>35.9</v>
      </c>
      <c r="D32" s="1049">
        <v>5889002</v>
      </c>
      <c r="E32" s="1115">
        <v>10</v>
      </c>
      <c r="F32" s="1049">
        <v>22479967</v>
      </c>
      <c r="G32" s="1303">
        <v>38.299999999999997</v>
      </c>
      <c r="H32" s="1049">
        <v>1099779</v>
      </c>
      <c r="I32" s="1303">
        <v>1.9</v>
      </c>
      <c r="J32" s="1049">
        <v>21376</v>
      </c>
      <c r="K32" s="1304">
        <v>0</v>
      </c>
      <c r="L32" s="1114">
        <v>2218584</v>
      </c>
      <c r="M32" s="1115">
        <v>3.8</v>
      </c>
      <c r="N32" s="1049" t="s">
        <v>143</v>
      </c>
      <c r="O32" s="1049" t="s">
        <v>143</v>
      </c>
      <c r="P32" s="1049" t="s">
        <v>143</v>
      </c>
      <c r="Q32" s="1115" t="s">
        <v>143</v>
      </c>
      <c r="R32" s="1305" t="s">
        <v>143</v>
      </c>
      <c r="S32" s="1115" t="s">
        <v>143</v>
      </c>
      <c r="T32" s="1049" t="s">
        <v>143</v>
      </c>
      <c r="U32" s="1115" t="s">
        <v>143</v>
      </c>
      <c r="V32" s="1302">
        <v>5940564</v>
      </c>
      <c r="W32" s="1304">
        <v>10.1</v>
      </c>
      <c r="X32" s="1302">
        <v>3790528</v>
      </c>
      <c r="Y32" s="1115">
        <v>6.4</v>
      </c>
      <c r="Z32" s="1049">
        <v>2111194</v>
      </c>
      <c r="AA32" s="1115">
        <v>3.6</v>
      </c>
      <c r="AB32" s="1306">
        <v>58631007</v>
      </c>
      <c r="AC32" s="1307">
        <v>100</v>
      </c>
    </row>
    <row r="33" spans="1:29" ht="15.75" customHeight="1" x14ac:dyDescent="0.2">
      <c r="A33" s="395" t="s">
        <v>252</v>
      </c>
      <c r="B33" s="1283">
        <v>14066738</v>
      </c>
      <c r="C33" s="1016">
        <v>37.700000000000003</v>
      </c>
      <c r="D33" s="1023">
        <v>4059568</v>
      </c>
      <c r="E33" s="1016">
        <v>10.9</v>
      </c>
      <c r="F33" s="1023">
        <v>15291217</v>
      </c>
      <c r="G33" s="1017">
        <v>41</v>
      </c>
      <c r="H33" s="1023">
        <v>687341</v>
      </c>
      <c r="I33" s="1017">
        <v>1.9</v>
      </c>
      <c r="J33" s="1023">
        <v>9652</v>
      </c>
      <c r="K33" s="1018">
        <v>0</v>
      </c>
      <c r="L33" s="1132">
        <v>1481381</v>
      </c>
      <c r="M33" s="1016">
        <v>3.9</v>
      </c>
      <c r="N33" s="1023" t="s">
        <v>143</v>
      </c>
      <c r="O33" s="1023" t="s">
        <v>143</v>
      </c>
      <c r="P33" s="1023" t="s">
        <v>143</v>
      </c>
      <c r="Q33" s="1016" t="s">
        <v>143</v>
      </c>
      <c r="R33" s="1047" t="s">
        <v>143</v>
      </c>
      <c r="S33" s="1016" t="s">
        <v>143</v>
      </c>
      <c r="T33" s="1023" t="s">
        <v>143</v>
      </c>
      <c r="U33" s="1016" t="s">
        <v>143</v>
      </c>
      <c r="V33" s="1283">
        <v>1727933</v>
      </c>
      <c r="W33" s="1018">
        <v>4.5999999999999996</v>
      </c>
      <c r="X33" s="1283">
        <v>1641558</v>
      </c>
      <c r="Y33" s="1016">
        <v>4.4000000000000004</v>
      </c>
      <c r="Z33" s="1023" t="s">
        <v>143</v>
      </c>
      <c r="AA33" s="1016" t="s">
        <v>143</v>
      </c>
      <c r="AB33" s="1308">
        <v>37323830</v>
      </c>
      <c r="AC33" s="1309">
        <v>100</v>
      </c>
    </row>
    <row r="34" spans="1:29" ht="15.75" customHeight="1" x14ac:dyDescent="0.2">
      <c r="A34" s="419" t="s">
        <v>181</v>
      </c>
      <c r="B34" s="1315">
        <v>24894650</v>
      </c>
      <c r="C34" s="1025">
        <v>37.1</v>
      </c>
      <c r="D34" s="1058">
        <v>5369651</v>
      </c>
      <c r="E34" s="1025">
        <v>8</v>
      </c>
      <c r="F34" s="1058">
        <v>26249452</v>
      </c>
      <c r="G34" s="1026">
        <v>39.1</v>
      </c>
      <c r="H34" s="1058">
        <v>869754</v>
      </c>
      <c r="I34" s="1026">
        <v>1.3</v>
      </c>
      <c r="J34" s="1058">
        <v>9278</v>
      </c>
      <c r="K34" s="1316">
        <v>0</v>
      </c>
      <c r="L34" s="1125">
        <v>2581732</v>
      </c>
      <c r="M34" s="1025">
        <v>3.8</v>
      </c>
      <c r="N34" s="1319" t="s">
        <v>143</v>
      </c>
      <c r="O34" s="1319" t="s">
        <v>143</v>
      </c>
      <c r="P34" s="1319" t="s">
        <v>143</v>
      </c>
      <c r="Q34" s="1319" t="s">
        <v>143</v>
      </c>
      <c r="R34" s="1319" t="s">
        <v>143</v>
      </c>
      <c r="S34" s="1319" t="s">
        <v>143</v>
      </c>
      <c r="T34" s="1319" t="s">
        <v>143</v>
      </c>
      <c r="U34" s="1319" t="s">
        <v>143</v>
      </c>
      <c r="V34" s="1315">
        <v>7177620</v>
      </c>
      <c r="W34" s="1316">
        <v>10.7</v>
      </c>
      <c r="X34" s="1315">
        <v>5547546</v>
      </c>
      <c r="Y34" s="1025">
        <v>8.1999999999999993</v>
      </c>
      <c r="Z34" s="1058">
        <v>1590883</v>
      </c>
      <c r="AA34" s="1025">
        <v>2.4</v>
      </c>
      <c r="AB34" s="1320">
        <v>67152137</v>
      </c>
      <c r="AC34" s="1317">
        <v>100</v>
      </c>
    </row>
    <row r="35" spans="1:29" ht="15.75" customHeight="1" x14ac:dyDescent="0.2">
      <c r="A35" s="395" t="s">
        <v>182</v>
      </c>
      <c r="B35" s="1283">
        <v>23672422</v>
      </c>
      <c r="C35" s="1016">
        <v>35.700000000000003</v>
      </c>
      <c r="D35" s="1023">
        <v>4509744</v>
      </c>
      <c r="E35" s="1016">
        <v>6.8</v>
      </c>
      <c r="F35" s="1023">
        <v>28078741</v>
      </c>
      <c r="G35" s="1017">
        <v>42.3</v>
      </c>
      <c r="H35" s="1023">
        <v>961985</v>
      </c>
      <c r="I35" s="1017">
        <v>1.5</v>
      </c>
      <c r="J35" s="1023">
        <v>10190</v>
      </c>
      <c r="K35" s="1018">
        <v>0</v>
      </c>
      <c r="L35" s="1132">
        <v>2397884</v>
      </c>
      <c r="M35" s="1016">
        <v>3.6</v>
      </c>
      <c r="N35" s="1023" t="s">
        <v>143</v>
      </c>
      <c r="O35" s="1023" t="s">
        <v>143</v>
      </c>
      <c r="P35" s="1023" t="s">
        <v>143</v>
      </c>
      <c r="Q35" s="1016" t="s">
        <v>143</v>
      </c>
      <c r="R35" s="1047" t="s">
        <v>143</v>
      </c>
      <c r="S35" s="1016" t="s">
        <v>143</v>
      </c>
      <c r="T35" s="1023">
        <v>151</v>
      </c>
      <c r="U35" s="1016">
        <v>0</v>
      </c>
      <c r="V35" s="1283">
        <v>6679125</v>
      </c>
      <c r="W35" s="1018">
        <v>10.1</v>
      </c>
      <c r="X35" s="1283">
        <v>3926173</v>
      </c>
      <c r="Y35" s="1016">
        <v>5.9</v>
      </c>
      <c r="Z35" s="1023">
        <v>2752952</v>
      </c>
      <c r="AA35" s="1016">
        <v>4.2</v>
      </c>
      <c r="AB35" s="1308">
        <v>66310242</v>
      </c>
      <c r="AC35" s="1309">
        <v>100</v>
      </c>
    </row>
    <row r="36" spans="1:29" ht="15.75" customHeight="1" x14ac:dyDescent="0.2">
      <c r="A36" s="419" t="s">
        <v>183</v>
      </c>
      <c r="B36" s="1315">
        <v>27412798</v>
      </c>
      <c r="C36" s="1025">
        <v>38.4</v>
      </c>
      <c r="D36" s="1058">
        <v>4605509</v>
      </c>
      <c r="E36" s="1025">
        <v>6.5</v>
      </c>
      <c r="F36" s="1058">
        <v>28125614</v>
      </c>
      <c r="G36" s="1026">
        <v>39.4</v>
      </c>
      <c r="H36" s="1058">
        <v>852228</v>
      </c>
      <c r="I36" s="1026">
        <v>1.2</v>
      </c>
      <c r="J36" s="1058">
        <v>8418</v>
      </c>
      <c r="K36" s="1316">
        <v>0</v>
      </c>
      <c r="L36" s="1125">
        <v>2188926</v>
      </c>
      <c r="M36" s="1025">
        <v>3.1</v>
      </c>
      <c r="N36" s="1058" t="s">
        <v>143</v>
      </c>
      <c r="O36" s="1058" t="s">
        <v>143</v>
      </c>
      <c r="P36" s="1058" t="s">
        <v>143</v>
      </c>
      <c r="Q36" s="1025" t="s">
        <v>143</v>
      </c>
      <c r="R36" s="1314" t="s">
        <v>143</v>
      </c>
      <c r="S36" s="1025" t="s">
        <v>143</v>
      </c>
      <c r="T36" s="1058">
        <v>621</v>
      </c>
      <c r="U36" s="1025">
        <v>0</v>
      </c>
      <c r="V36" s="1315">
        <v>8103635</v>
      </c>
      <c r="W36" s="1316">
        <v>11.4</v>
      </c>
      <c r="X36" s="1315">
        <v>5178568</v>
      </c>
      <c r="Y36" s="1025">
        <v>7.3</v>
      </c>
      <c r="Z36" s="1058">
        <v>2924537</v>
      </c>
      <c r="AA36" s="1025">
        <v>4.0999999999999996</v>
      </c>
      <c r="AB36" s="1320">
        <v>71297749</v>
      </c>
      <c r="AC36" s="1317">
        <v>100</v>
      </c>
    </row>
    <row r="37" spans="1:29" ht="15.75" customHeight="1" x14ac:dyDescent="0.2">
      <c r="A37" s="395" t="s">
        <v>847</v>
      </c>
      <c r="B37" s="1283">
        <v>21807589</v>
      </c>
      <c r="C37" s="1016">
        <v>42.6</v>
      </c>
      <c r="D37" s="1023">
        <v>2645390</v>
      </c>
      <c r="E37" s="1016">
        <v>5.2</v>
      </c>
      <c r="F37" s="1023">
        <v>19913667</v>
      </c>
      <c r="G37" s="1017">
        <v>38.9</v>
      </c>
      <c r="H37" s="1023">
        <v>788928</v>
      </c>
      <c r="I37" s="1017">
        <v>1.5</v>
      </c>
      <c r="J37" s="1023">
        <v>6580</v>
      </c>
      <c r="K37" s="1018">
        <v>0</v>
      </c>
      <c r="L37" s="1132">
        <v>2162668</v>
      </c>
      <c r="M37" s="1016">
        <v>4.2</v>
      </c>
      <c r="N37" s="1023" t="s">
        <v>143</v>
      </c>
      <c r="O37" s="1023" t="s">
        <v>143</v>
      </c>
      <c r="P37" s="1023" t="s">
        <v>143</v>
      </c>
      <c r="Q37" s="1016" t="s">
        <v>143</v>
      </c>
      <c r="R37" s="1047" t="s">
        <v>143</v>
      </c>
      <c r="S37" s="1016" t="s">
        <v>143</v>
      </c>
      <c r="T37" s="1023" t="s">
        <v>143</v>
      </c>
      <c r="U37" s="1016" t="s">
        <v>143</v>
      </c>
      <c r="V37" s="1283">
        <v>3902095</v>
      </c>
      <c r="W37" s="1018">
        <v>7.6</v>
      </c>
      <c r="X37" s="1283">
        <v>2902939</v>
      </c>
      <c r="Y37" s="1016">
        <v>5.7</v>
      </c>
      <c r="Z37" s="1023">
        <v>998886</v>
      </c>
      <c r="AA37" s="1016">
        <v>1.9</v>
      </c>
      <c r="AB37" s="1308">
        <v>51226917</v>
      </c>
      <c r="AC37" s="1309">
        <v>100</v>
      </c>
    </row>
    <row r="38" spans="1:29" ht="15.75" customHeight="1" x14ac:dyDescent="0.2">
      <c r="A38" s="419" t="s">
        <v>185</v>
      </c>
      <c r="B38" s="1302">
        <v>32646781</v>
      </c>
      <c r="C38" s="1115">
        <v>27</v>
      </c>
      <c r="D38" s="1049">
        <v>31063664</v>
      </c>
      <c r="E38" s="1115">
        <v>25.7</v>
      </c>
      <c r="F38" s="1049">
        <v>41840769</v>
      </c>
      <c r="G38" s="1303">
        <v>34.6</v>
      </c>
      <c r="H38" s="1049">
        <v>914999</v>
      </c>
      <c r="I38" s="1303">
        <v>0.8</v>
      </c>
      <c r="J38" s="1049">
        <v>9880</v>
      </c>
      <c r="K38" s="1304">
        <v>0</v>
      </c>
      <c r="L38" s="1114">
        <v>2826507</v>
      </c>
      <c r="M38" s="1115">
        <v>2.4</v>
      </c>
      <c r="N38" s="1049" t="s">
        <v>143</v>
      </c>
      <c r="O38" s="1049" t="s">
        <v>143</v>
      </c>
      <c r="P38" s="1049">
        <v>0</v>
      </c>
      <c r="Q38" s="1115" t="s">
        <v>143</v>
      </c>
      <c r="R38" s="1305" t="s">
        <v>143</v>
      </c>
      <c r="S38" s="1115" t="s">
        <v>143</v>
      </c>
      <c r="T38" s="1049">
        <v>664</v>
      </c>
      <c r="U38" s="1115">
        <v>0</v>
      </c>
      <c r="V38" s="1302">
        <v>11525494</v>
      </c>
      <c r="W38" s="1304">
        <v>9.5</v>
      </c>
      <c r="X38" s="1302">
        <v>4142360</v>
      </c>
      <c r="Y38" s="1115">
        <v>3.4</v>
      </c>
      <c r="Z38" s="1049">
        <v>7383084</v>
      </c>
      <c r="AA38" s="1115">
        <v>6.1</v>
      </c>
      <c r="AB38" s="1306">
        <v>120828758</v>
      </c>
      <c r="AC38" s="1307">
        <v>100</v>
      </c>
    </row>
    <row r="39" spans="1:29" ht="15.75" customHeight="1" x14ac:dyDescent="0.2">
      <c r="A39" s="395" t="s">
        <v>186</v>
      </c>
      <c r="B39" s="1178">
        <v>21100035</v>
      </c>
      <c r="C39" s="1104">
        <v>40.6</v>
      </c>
      <c r="D39" s="1090">
        <v>3586873</v>
      </c>
      <c r="E39" s="1104">
        <v>6.9</v>
      </c>
      <c r="F39" s="1090">
        <v>19608980</v>
      </c>
      <c r="G39" s="1024">
        <v>37.700000000000003</v>
      </c>
      <c r="H39" s="1090">
        <v>633293</v>
      </c>
      <c r="I39" s="1024">
        <v>1.2</v>
      </c>
      <c r="J39" s="1090">
        <v>7081</v>
      </c>
      <c r="K39" s="1299">
        <v>0</v>
      </c>
      <c r="L39" s="1103">
        <v>1704212</v>
      </c>
      <c r="M39" s="1104">
        <v>3.3</v>
      </c>
      <c r="N39" s="1090" t="s">
        <v>143</v>
      </c>
      <c r="O39" s="1090" t="s">
        <v>143</v>
      </c>
      <c r="P39" s="1090">
        <v>30733</v>
      </c>
      <c r="Q39" s="1104">
        <v>0.1</v>
      </c>
      <c r="R39" s="1321" t="s">
        <v>143</v>
      </c>
      <c r="S39" s="1104" t="s">
        <v>143</v>
      </c>
      <c r="T39" s="1090">
        <v>1</v>
      </c>
      <c r="U39" s="1104">
        <v>0</v>
      </c>
      <c r="V39" s="1178">
        <v>5340650</v>
      </c>
      <c r="W39" s="1299">
        <v>10.3</v>
      </c>
      <c r="X39" s="1178">
        <v>3749779</v>
      </c>
      <c r="Y39" s="1104">
        <v>7.2</v>
      </c>
      <c r="Z39" s="1090">
        <v>1497377</v>
      </c>
      <c r="AA39" s="1104">
        <v>2.9</v>
      </c>
      <c r="AB39" s="1300">
        <v>52011858</v>
      </c>
      <c r="AC39" s="1301">
        <v>100</v>
      </c>
    </row>
    <row r="40" spans="1:29" ht="15.75" customHeight="1" x14ac:dyDescent="0.2">
      <c r="A40" s="419" t="s">
        <v>187</v>
      </c>
      <c r="B40" s="1302">
        <v>31690284</v>
      </c>
      <c r="C40" s="1115">
        <f>B40/AB40*100</f>
        <v>44.757029975529747</v>
      </c>
      <c r="D40" s="1049">
        <v>4843290</v>
      </c>
      <c r="E40" s="1115">
        <f>D40/AB40*100</f>
        <v>6.840307133573921</v>
      </c>
      <c r="F40" s="1049">
        <v>24985174</v>
      </c>
      <c r="G40" s="1303">
        <f>F40/AB40*100</f>
        <v>35.287224994948815</v>
      </c>
      <c r="H40" s="1049">
        <v>313898</v>
      </c>
      <c r="I40" s="1303">
        <f>H40/AB40*100</f>
        <v>0.44332648439688443</v>
      </c>
      <c r="J40" s="1049">
        <v>5125</v>
      </c>
      <c r="K40" s="1304">
        <f>J40/AB40*100</f>
        <v>7.2381736504661797E-3</v>
      </c>
      <c r="L40" s="1114">
        <v>2053481</v>
      </c>
      <c r="M40" s="1115">
        <f>L40/AB40*100</f>
        <v>2.9001857689625248</v>
      </c>
      <c r="N40" s="1049">
        <v>0</v>
      </c>
      <c r="O40" s="1115">
        <f>N40/AB40*100</f>
        <v>0</v>
      </c>
      <c r="P40" s="1049">
        <v>0</v>
      </c>
      <c r="Q40" s="1115">
        <f>P40/AB40*100</f>
        <v>0</v>
      </c>
      <c r="R40" s="1049">
        <v>0</v>
      </c>
      <c r="S40" s="1115">
        <f>R40/AB40*100</f>
        <v>0</v>
      </c>
      <c r="T40" s="1049">
        <v>0</v>
      </c>
      <c r="U40" s="1115">
        <f>T40/AB40*100</f>
        <v>0</v>
      </c>
      <c r="V40" s="1302">
        <v>6913902</v>
      </c>
      <c r="W40" s="1304">
        <f>V40/AB40*100</f>
        <v>9.7646874689376428</v>
      </c>
      <c r="X40" s="1302">
        <v>5852794</v>
      </c>
      <c r="Y40" s="1115">
        <f>X40/AB40*100</f>
        <v>8.266056451201278</v>
      </c>
      <c r="Z40" s="1049">
        <v>1061108</v>
      </c>
      <c r="AA40" s="1115">
        <f>Z40/AB40*100</f>
        <v>1.4986310177363642</v>
      </c>
      <c r="AB40" s="1306">
        <v>70805154</v>
      </c>
      <c r="AC40" s="1307">
        <v>100</v>
      </c>
    </row>
    <row r="41" spans="1:29" ht="15.75" customHeight="1" x14ac:dyDescent="0.2">
      <c r="A41" s="395" t="s">
        <v>188</v>
      </c>
      <c r="B41" s="1178">
        <v>28347352</v>
      </c>
      <c r="C41" s="1104">
        <v>41.4</v>
      </c>
      <c r="D41" s="1090">
        <v>5232038</v>
      </c>
      <c r="E41" s="1104">
        <v>7.7</v>
      </c>
      <c r="F41" s="1090">
        <v>26028104</v>
      </c>
      <c r="G41" s="1024">
        <v>38.1</v>
      </c>
      <c r="H41" s="1090">
        <v>268721</v>
      </c>
      <c r="I41" s="1024">
        <v>0.4</v>
      </c>
      <c r="J41" s="1090">
        <v>3836</v>
      </c>
      <c r="K41" s="1299">
        <v>0</v>
      </c>
      <c r="L41" s="1103">
        <v>1697917</v>
      </c>
      <c r="M41" s="1104">
        <v>2.5</v>
      </c>
      <c r="N41" s="1321" t="s">
        <v>143</v>
      </c>
      <c r="O41" s="1104" t="s">
        <v>143</v>
      </c>
      <c r="P41" s="1090">
        <v>0</v>
      </c>
      <c r="Q41" s="1104">
        <v>0</v>
      </c>
      <c r="R41" s="1090">
        <v>0</v>
      </c>
      <c r="S41" s="1104">
        <v>0</v>
      </c>
      <c r="T41" s="1090" t="s">
        <v>143</v>
      </c>
      <c r="U41" s="1104" t="s">
        <v>143</v>
      </c>
      <c r="V41" s="1178">
        <v>6801559</v>
      </c>
      <c r="W41" s="1299">
        <v>9.9</v>
      </c>
      <c r="X41" s="1178">
        <v>5710190</v>
      </c>
      <c r="Y41" s="1104">
        <v>8.3000000000000007</v>
      </c>
      <c r="Z41" s="1090">
        <v>1068128</v>
      </c>
      <c r="AA41" s="1104">
        <v>1.6</v>
      </c>
      <c r="AB41" s="1300">
        <v>68379527</v>
      </c>
      <c r="AC41" s="1301">
        <v>100</v>
      </c>
    </row>
    <row r="42" spans="1:29" ht="15.75" customHeight="1" x14ac:dyDescent="0.2">
      <c r="A42" s="419" t="s">
        <v>190</v>
      </c>
      <c r="B42" s="1302">
        <v>20901724</v>
      </c>
      <c r="C42" s="1025">
        <v>41</v>
      </c>
      <c r="D42" s="1058">
        <v>3585564</v>
      </c>
      <c r="E42" s="1025">
        <v>7</v>
      </c>
      <c r="F42" s="1058">
        <v>19356693</v>
      </c>
      <c r="G42" s="1026">
        <v>37.9</v>
      </c>
      <c r="H42" s="1058">
        <v>414478</v>
      </c>
      <c r="I42" s="1026">
        <v>0.8</v>
      </c>
      <c r="J42" s="1058">
        <v>4055</v>
      </c>
      <c r="K42" s="1316">
        <v>0</v>
      </c>
      <c r="L42" s="1114">
        <v>1594194</v>
      </c>
      <c r="M42" s="1115">
        <v>3.1</v>
      </c>
      <c r="N42" s="1049" t="s">
        <v>143</v>
      </c>
      <c r="O42" s="1049" t="s">
        <v>143</v>
      </c>
      <c r="P42" s="1049" t="s">
        <v>143</v>
      </c>
      <c r="Q42" s="1115" t="s">
        <v>143</v>
      </c>
      <c r="R42" s="1305" t="s">
        <v>143</v>
      </c>
      <c r="S42" s="1115" t="s">
        <v>143</v>
      </c>
      <c r="T42" s="1049" t="s">
        <v>143</v>
      </c>
      <c r="U42" s="1115" t="s">
        <v>143</v>
      </c>
      <c r="V42" s="1302">
        <v>5181559</v>
      </c>
      <c r="W42" s="1316">
        <v>10.199999999999999</v>
      </c>
      <c r="X42" s="1315">
        <v>4003329</v>
      </c>
      <c r="Y42" s="1025">
        <v>7.8</v>
      </c>
      <c r="Z42" s="1049">
        <v>1125850</v>
      </c>
      <c r="AA42" s="1115">
        <v>2.2000000000000002</v>
      </c>
      <c r="AB42" s="1306">
        <v>51038267</v>
      </c>
      <c r="AC42" s="1307">
        <v>100</v>
      </c>
    </row>
    <row r="43" spans="1:29" ht="15.75" customHeight="1" x14ac:dyDescent="0.2">
      <c r="A43" s="395" t="s">
        <v>191</v>
      </c>
      <c r="B43" s="1178">
        <v>22918145</v>
      </c>
      <c r="C43" s="1104">
        <v>40.200000000000003</v>
      </c>
      <c r="D43" s="1090">
        <v>3872484</v>
      </c>
      <c r="E43" s="1104">
        <v>6.8</v>
      </c>
      <c r="F43" s="1090">
        <v>21676055</v>
      </c>
      <c r="G43" s="1024">
        <v>38</v>
      </c>
      <c r="H43" s="1090">
        <v>548798</v>
      </c>
      <c r="I43" s="1024">
        <v>1</v>
      </c>
      <c r="J43" s="1090">
        <v>4614</v>
      </c>
      <c r="K43" s="1299">
        <v>0</v>
      </c>
      <c r="L43" s="1103">
        <v>1929698</v>
      </c>
      <c r="M43" s="1104">
        <v>3.4</v>
      </c>
      <c r="N43" s="1090">
        <v>0</v>
      </c>
      <c r="O43" s="1104">
        <v>0</v>
      </c>
      <c r="P43" s="1090">
        <v>0</v>
      </c>
      <c r="Q43" s="1104">
        <v>0</v>
      </c>
      <c r="R43" s="1090">
        <v>0</v>
      </c>
      <c r="S43" s="1297">
        <v>0</v>
      </c>
      <c r="T43" s="1090">
        <v>0</v>
      </c>
      <c r="U43" s="1104">
        <v>0</v>
      </c>
      <c r="V43" s="1178">
        <v>6079986</v>
      </c>
      <c r="W43" s="1299">
        <v>10.6</v>
      </c>
      <c r="X43" s="1178">
        <v>4640642</v>
      </c>
      <c r="Y43" s="1104">
        <v>8.1</v>
      </c>
      <c r="Z43" s="1090">
        <v>1439344</v>
      </c>
      <c r="AA43" s="1104">
        <v>2.5</v>
      </c>
      <c r="AB43" s="1300">
        <v>57029780</v>
      </c>
      <c r="AC43" s="1301">
        <v>100</v>
      </c>
    </row>
    <row r="44" spans="1:29" ht="15.75" customHeight="1" x14ac:dyDescent="0.2">
      <c r="A44" s="419" t="s">
        <v>253</v>
      </c>
      <c r="B44" s="1302">
        <v>14248082</v>
      </c>
      <c r="C44" s="1115">
        <v>35.998411511017046</v>
      </c>
      <c r="D44" s="1049">
        <v>3370345</v>
      </c>
      <c r="E44" s="1115">
        <v>8.5153262203360942</v>
      </c>
      <c r="F44" s="1049">
        <v>16482929</v>
      </c>
      <c r="G44" s="1303">
        <v>41.644851640303351</v>
      </c>
      <c r="H44" s="1049">
        <v>359579</v>
      </c>
      <c r="I44" s="1303">
        <v>0.90849230182139595</v>
      </c>
      <c r="J44" s="1049">
        <v>5838</v>
      </c>
      <c r="K44" s="1304">
        <v>1.4749966093774412E-2</v>
      </c>
      <c r="L44" s="1114">
        <v>1707421</v>
      </c>
      <c r="M44" s="1115">
        <v>4.3138749328191848</v>
      </c>
      <c r="N44" s="1049">
        <v>0</v>
      </c>
      <c r="O44" s="1115">
        <v>0</v>
      </c>
      <c r="P44" s="1049">
        <v>0</v>
      </c>
      <c r="Q44" s="1115">
        <v>0</v>
      </c>
      <c r="R44" s="1048">
        <v>0</v>
      </c>
      <c r="S44" s="1115">
        <v>0</v>
      </c>
      <c r="T44" s="1049">
        <v>0</v>
      </c>
      <c r="U44" s="1115">
        <v>0</v>
      </c>
      <c r="V44" s="1302">
        <v>3405558</v>
      </c>
      <c r="W44" s="1304">
        <v>8.6042934276091465</v>
      </c>
      <c r="X44" s="1302">
        <v>3394734</v>
      </c>
      <c r="Y44" s="1115">
        <v>8.5769461112338448</v>
      </c>
      <c r="Z44" s="1049">
        <v>0</v>
      </c>
      <c r="AA44" s="1115">
        <v>0</v>
      </c>
      <c r="AB44" s="1306">
        <v>39579752</v>
      </c>
      <c r="AC44" s="1307">
        <v>100</v>
      </c>
    </row>
    <row r="45" spans="1:29" ht="15.75" customHeight="1" x14ac:dyDescent="0.2">
      <c r="A45" s="395" t="s">
        <v>193</v>
      </c>
      <c r="B45" s="1178">
        <v>11485699</v>
      </c>
      <c r="C45" s="1104">
        <v>39.700000000000003</v>
      </c>
      <c r="D45" s="1090">
        <v>1792081</v>
      </c>
      <c r="E45" s="1104">
        <v>6.2</v>
      </c>
      <c r="F45" s="1090">
        <v>11283615</v>
      </c>
      <c r="G45" s="1024">
        <v>39.1</v>
      </c>
      <c r="H45" s="1090">
        <v>304361</v>
      </c>
      <c r="I45" s="1024">
        <v>1</v>
      </c>
      <c r="J45" s="1090">
        <v>3396</v>
      </c>
      <c r="K45" s="1299">
        <v>0.1</v>
      </c>
      <c r="L45" s="1103">
        <v>1513773</v>
      </c>
      <c r="M45" s="1104">
        <v>5.2</v>
      </c>
      <c r="N45" s="1090" t="s">
        <v>143</v>
      </c>
      <c r="O45" s="1104" t="s">
        <v>143</v>
      </c>
      <c r="P45" s="1090" t="s">
        <v>143</v>
      </c>
      <c r="Q45" s="1104" t="s">
        <v>143</v>
      </c>
      <c r="R45" s="1321" t="s">
        <v>143</v>
      </c>
      <c r="S45" s="1104" t="s">
        <v>143</v>
      </c>
      <c r="T45" s="1090" t="s">
        <v>143</v>
      </c>
      <c r="U45" s="1104" t="s">
        <v>143</v>
      </c>
      <c r="V45" s="1178">
        <v>2503070</v>
      </c>
      <c r="W45" s="1299">
        <v>8.6999999999999993</v>
      </c>
      <c r="X45" s="1178">
        <v>2489624</v>
      </c>
      <c r="Y45" s="1104">
        <v>8.6</v>
      </c>
      <c r="Z45" s="1090" t="s">
        <v>143</v>
      </c>
      <c r="AA45" s="1104" t="s">
        <v>143</v>
      </c>
      <c r="AB45" s="1300">
        <v>28885995</v>
      </c>
      <c r="AC45" s="1301">
        <v>100</v>
      </c>
    </row>
    <row r="46" spans="1:29" ht="15.75" customHeight="1" x14ac:dyDescent="0.2">
      <c r="A46" s="419" t="s">
        <v>194</v>
      </c>
      <c r="B46" s="1315">
        <v>26298770</v>
      </c>
      <c r="C46" s="1025">
        <v>33</v>
      </c>
      <c r="D46" s="1058">
        <v>6847668</v>
      </c>
      <c r="E46" s="1025">
        <v>8.6</v>
      </c>
      <c r="F46" s="1058">
        <v>32029274</v>
      </c>
      <c r="G46" s="1026">
        <v>40.200000000000003</v>
      </c>
      <c r="H46" s="1058">
        <v>628356</v>
      </c>
      <c r="I46" s="1026">
        <v>0.8</v>
      </c>
      <c r="J46" s="1058">
        <v>8791</v>
      </c>
      <c r="K46" s="1316">
        <v>0</v>
      </c>
      <c r="L46" s="1125">
        <v>4481486</v>
      </c>
      <c r="M46" s="1025">
        <v>5.6</v>
      </c>
      <c r="N46" s="1049" t="s">
        <v>143</v>
      </c>
      <c r="O46" s="1115" t="s">
        <v>143</v>
      </c>
      <c r="P46" s="1058" t="s">
        <v>143</v>
      </c>
      <c r="Q46" s="1025" t="s">
        <v>143</v>
      </c>
      <c r="R46" s="1048" t="s">
        <v>143</v>
      </c>
      <c r="S46" s="1115" t="s">
        <v>143</v>
      </c>
      <c r="T46" s="1049" t="s">
        <v>143</v>
      </c>
      <c r="U46" s="1115" t="s">
        <v>143</v>
      </c>
      <c r="V46" s="1315">
        <v>9356783</v>
      </c>
      <c r="W46" s="1316">
        <v>11.8</v>
      </c>
      <c r="X46" s="1315">
        <v>6875846</v>
      </c>
      <c r="Y46" s="1025">
        <v>8.6999999999999993</v>
      </c>
      <c r="Z46" s="1058">
        <v>2479242</v>
      </c>
      <c r="AA46" s="1025">
        <v>3.1</v>
      </c>
      <c r="AB46" s="1320">
        <v>79651128</v>
      </c>
      <c r="AC46" s="1317">
        <v>100</v>
      </c>
    </row>
    <row r="47" spans="1:29" ht="15.75" customHeight="1" x14ac:dyDescent="0.2">
      <c r="A47" s="395" t="s">
        <v>195</v>
      </c>
      <c r="B47" s="1178">
        <v>29581490</v>
      </c>
      <c r="C47" s="1104">
        <v>30.2</v>
      </c>
      <c r="D47" s="1090">
        <v>8197313</v>
      </c>
      <c r="E47" s="1104">
        <v>8.4</v>
      </c>
      <c r="F47" s="1090">
        <v>43214659</v>
      </c>
      <c r="G47" s="1024">
        <v>44.2</v>
      </c>
      <c r="H47" s="1090">
        <v>1238678</v>
      </c>
      <c r="I47" s="1024">
        <v>1.3</v>
      </c>
      <c r="J47" s="1090">
        <v>11445</v>
      </c>
      <c r="K47" s="1299">
        <v>0</v>
      </c>
      <c r="L47" s="1103">
        <v>3815808</v>
      </c>
      <c r="M47" s="1104">
        <v>3.9</v>
      </c>
      <c r="N47" s="1090" t="s">
        <v>143</v>
      </c>
      <c r="O47" s="1090" t="s">
        <v>143</v>
      </c>
      <c r="P47" s="1090" t="s">
        <v>143</v>
      </c>
      <c r="Q47" s="1104" t="s">
        <v>143</v>
      </c>
      <c r="R47" s="1297" t="s">
        <v>143</v>
      </c>
      <c r="S47" s="1104" t="s">
        <v>143</v>
      </c>
      <c r="T47" s="1090" t="s">
        <v>143</v>
      </c>
      <c r="U47" s="1104" t="s">
        <v>143</v>
      </c>
      <c r="V47" s="1178">
        <v>11738583</v>
      </c>
      <c r="W47" s="1299">
        <v>12</v>
      </c>
      <c r="X47" s="1178">
        <v>7013246</v>
      </c>
      <c r="Y47" s="1104">
        <v>7.2</v>
      </c>
      <c r="Z47" s="1090">
        <v>4691846</v>
      </c>
      <c r="AA47" s="1104">
        <v>4.8</v>
      </c>
      <c r="AB47" s="1300">
        <v>97797976</v>
      </c>
      <c r="AC47" s="1301">
        <v>100</v>
      </c>
    </row>
    <row r="48" spans="1:29" ht="15.75" customHeight="1" x14ac:dyDescent="0.2">
      <c r="A48" s="419" t="s">
        <v>196</v>
      </c>
      <c r="B48" s="1315">
        <v>25049366</v>
      </c>
      <c r="C48" s="1025">
        <v>31.1</v>
      </c>
      <c r="D48" s="1058">
        <v>7640881</v>
      </c>
      <c r="E48" s="1025">
        <v>9.5</v>
      </c>
      <c r="F48" s="1058">
        <v>33685327</v>
      </c>
      <c r="G48" s="1026">
        <v>41.8</v>
      </c>
      <c r="H48" s="1058">
        <v>415926</v>
      </c>
      <c r="I48" s="1026">
        <v>0.5</v>
      </c>
      <c r="J48" s="1058">
        <v>6184</v>
      </c>
      <c r="K48" s="1316">
        <v>0</v>
      </c>
      <c r="L48" s="1125">
        <v>3301837</v>
      </c>
      <c r="M48" s="1025">
        <v>4.0999999999999996</v>
      </c>
      <c r="N48" s="1058">
        <v>0</v>
      </c>
      <c r="O48" s="1058">
        <v>0</v>
      </c>
      <c r="P48" s="1058">
        <v>0</v>
      </c>
      <c r="Q48" s="1025">
        <v>0</v>
      </c>
      <c r="R48" s="1314">
        <v>0</v>
      </c>
      <c r="S48" s="1025">
        <v>0</v>
      </c>
      <c r="T48" s="1058">
        <v>0</v>
      </c>
      <c r="U48" s="1025">
        <v>0</v>
      </c>
      <c r="V48" s="1315">
        <v>10491564</v>
      </c>
      <c r="W48" s="1316">
        <v>13</v>
      </c>
      <c r="X48" s="1315">
        <v>7098893</v>
      </c>
      <c r="Y48" s="1025">
        <v>8.8000000000000007</v>
      </c>
      <c r="Z48" s="1058">
        <v>3373415</v>
      </c>
      <c r="AA48" s="1025">
        <v>4.2</v>
      </c>
      <c r="AB48" s="1320">
        <v>80591085</v>
      </c>
      <c r="AC48" s="1317">
        <v>100</v>
      </c>
    </row>
    <row r="49" spans="1:29" ht="15.75" customHeight="1" x14ac:dyDescent="0.2">
      <c r="A49" s="395" t="s">
        <v>197</v>
      </c>
      <c r="B49" s="1178">
        <v>16623851</v>
      </c>
      <c r="C49" s="1104">
        <v>37.799999999999997</v>
      </c>
      <c r="D49" s="1090">
        <v>3039754</v>
      </c>
      <c r="E49" s="1104">
        <v>6.9</v>
      </c>
      <c r="F49" s="1090">
        <v>17111933</v>
      </c>
      <c r="G49" s="1024">
        <v>38.9</v>
      </c>
      <c r="H49" s="1090">
        <v>444389</v>
      </c>
      <c r="I49" s="1024">
        <v>1</v>
      </c>
      <c r="J49" s="1090">
        <v>3713</v>
      </c>
      <c r="K49" s="1299">
        <v>0</v>
      </c>
      <c r="L49" s="1103">
        <v>1601289</v>
      </c>
      <c r="M49" s="1104">
        <v>3.6</v>
      </c>
      <c r="N49" s="1090">
        <v>0</v>
      </c>
      <c r="O49" s="1090">
        <v>0</v>
      </c>
      <c r="P49" s="1090">
        <v>0</v>
      </c>
      <c r="Q49" s="1104">
        <v>0</v>
      </c>
      <c r="R49" s="1297">
        <v>0</v>
      </c>
      <c r="S49" s="1104">
        <v>0</v>
      </c>
      <c r="T49" s="1090">
        <v>0</v>
      </c>
      <c r="U49" s="1104">
        <v>0</v>
      </c>
      <c r="V49" s="1178">
        <v>5143120</v>
      </c>
      <c r="W49" s="1299">
        <v>11.7</v>
      </c>
      <c r="X49" s="1178">
        <v>3453346</v>
      </c>
      <c r="Y49" s="1104">
        <v>7.9</v>
      </c>
      <c r="Z49" s="1090">
        <v>1688928</v>
      </c>
      <c r="AA49" s="1104">
        <v>3.8</v>
      </c>
      <c r="AB49" s="1300">
        <v>43968049</v>
      </c>
      <c r="AC49" s="1301">
        <v>100</v>
      </c>
    </row>
    <row r="50" spans="1:29" ht="15.75" customHeight="1" x14ac:dyDescent="0.2">
      <c r="A50" s="419" t="s">
        <v>198</v>
      </c>
      <c r="B50" s="1315">
        <v>39099837</v>
      </c>
      <c r="C50" s="1025">
        <v>44.6</v>
      </c>
      <c r="D50" s="1058">
        <v>4311613</v>
      </c>
      <c r="E50" s="1025">
        <v>4.9000000000000004</v>
      </c>
      <c r="F50" s="1058">
        <v>32671321</v>
      </c>
      <c r="G50" s="1026">
        <v>37.299999999999997</v>
      </c>
      <c r="H50" s="1058">
        <v>349255</v>
      </c>
      <c r="I50" s="1026">
        <v>0.4</v>
      </c>
      <c r="J50" s="1058">
        <v>4491</v>
      </c>
      <c r="K50" s="1316">
        <v>0</v>
      </c>
      <c r="L50" s="1125">
        <v>2130147</v>
      </c>
      <c r="M50" s="1025">
        <v>2.4</v>
      </c>
      <c r="N50" s="1049" t="s">
        <v>143</v>
      </c>
      <c r="O50" s="1115" t="s">
        <v>143</v>
      </c>
      <c r="P50" s="1058">
        <v>0</v>
      </c>
      <c r="Q50" s="1025">
        <v>0</v>
      </c>
      <c r="R50" s="1048" t="s">
        <v>143</v>
      </c>
      <c r="S50" s="1115" t="s">
        <v>143</v>
      </c>
      <c r="T50" s="1049" t="s">
        <v>143</v>
      </c>
      <c r="U50" s="1115" t="s">
        <v>143</v>
      </c>
      <c r="V50" s="1315">
        <v>9072322</v>
      </c>
      <c r="W50" s="1316">
        <v>10.4</v>
      </c>
      <c r="X50" s="1315">
        <v>7709243</v>
      </c>
      <c r="Y50" s="1025">
        <v>8.8000000000000007</v>
      </c>
      <c r="Z50" s="1058">
        <v>1346549</v>
      </c>
      <c r="AA50" s="1025">
        <v>1.5</v>
      </c>
      <c r="AB50" s="1320">
        <v>87638986</v>
      </c>
      <c r="AC50" s="1317">
        <v>100.00000000000001</v>
      </c>
    </row>
    <row r="51" spans="1:29" ht="15.75" customHeight="1" x14ac:dyDescent="0.2">
      <c r="A51" s="395" t="s">
        <v>200</v>
      </c>
      <c r="B51" s="1178">
        <v>23143722</v>
      </c>
      <c r="C51" s="1104">
        <v>43.7</v>
      </c>
      <c r="D51" s="1090">
        <v>3518981</v>
      </c>
      <c r="E51" s="1104">
        <v>6.6</v>
      </c>
      <c r="F51" s="1090">
        <v>19622803</v>
      </c>
      <c r="G51" s="1024">
        <v>37.1</v>
      </c>
      <c r="H51" s="1090">
        <v>612073</v>
      </c>
      <c r="I51" s="1024">
        <v>1.2</v>
      </c>
      <c r="J51" s="1090">
        <v>4831</v>
      </c>
      <c r="K51" s="1299">
        <v>0</v>
      </c>
      <c r="L51" s="1103">
        <v>1688834</v>
      </c>
      <c r="M51" s="1104">
        <v>3.2</v>
      </c>
      <c r="N51" s="1090" t="s">
        <v>143</v>
      </c>
      <c r="O51" s="1090" t="s">
        <v>143</v>
      </c>
      <c r="P51" s="1090" t="s">
        <v>143</v>
      </c>
      <c r="Q51" s="1104" t="s">
        <v>143</v>
      </c>
      <c r="R51" s="1297" t="s">
        <v>143</v>
      </c>
      <c r="S51" s="1104" t="s">
        <v>143</v>
      </c>
      <c r="T51" s="1090" t="s">
        <v>143</v>
      </c>
      <c r="U51" s="1104" t="s">
        <v>143</v>
      </c>
      <c r="V51" s="1178">
        <v>4345144</v>
      </c>
      <c r="W51" s="1299">
        <v>8.1999999999999993</v>
      </c>
      <c r="X51" s="1178">
        <v>3303189</v>
      </c>
      <c r="Y51" s="1104">
        <v>6.2</v>
      </c>
      <c r="Z51" s="1090">
        <v>1017826</v>
      </c>
      <c r="AA51" s="1104">
        <v>1.9</v>
      </c>
      <c r="AB51" s="1300">
        <v>52936388</v>
      </c>
      <c r="AC51" s="1301">
        <v>100</v>
      </c>
    </row>
    <row r="52" spans="1:29" ht="15.75" customHeight="1" x14ac:dyDescent="0.2">
      <c r="A52" s="419" t="s">
        <v>201</v>
      </c>
      <c r="B52" s="1315">
        <v>18989959</v>
      </c>
      <c r="C52" s="1025">
        <v>31.9</v>
      </c>
      <c r="D52" s="1058">
        <v>5356633</v>
      </c>
      <c r="E52" s="1025">
        <v>9</v>
      </c>
      <c r="F52" s="1058">
        <v>24961829</v>
      </c>
      <c r="G52" s="1026">
        <v>42</v>
      </c>
      <c r="H52" s="1058">
        <v>1055878</v>
      </c>
      <c r="I52" s="1026">
        <v>1.8</v>
      </c>
      <c r="J52" s="1058">
        <v>9221</v>
      </c>
      <c r="K52" s="1316">
        <v>0</v>
      </c>
      <c r="L52" s="1125">
        <v>2627150</v>
      </c>
      <c r="M52" s="1025">
        <v>4.4000000000000004</v>
      </c>
      <c r="N52" s="1058" t="s">
        <v>143</v>
      </c>
      <c r="O52" s="1058" t="s">
        <v>143</v>
      </c>
      <c r="P52" s="1058" t="s">
        <v>143</v>
      </c>
      <c r="Q52" s="1025" t="s">
        <v>143</v>
      </c>
      <c r="R52" s="1314" t="s">
        <v>143</v>
      </c>
      <c r="S52" s="1025" t="s">
        <v>143</v>
      </c>
      <c r="T52" s="1058" t="s">
        <v>143</v>
      </c>
      <c r="U52" s="1025" t="s">
        <v>143</v>
      </c>
      <c r="V52" s="1315">
        <v>6458905</v>
      </c>
      <c r="W52" s="1316">
        <v>10.9</v>
      </c>
      <c r="X52" s="1315">
        <v>4172625</v>
      </c>
      <c r="Y52" s="1025">
        <v>7.1</v>
      </c>
      <c r="Z52" s="1058">
        <v>2265577</v>
      </c>
      <c r="AA52" s="1025">
        <v>3.8</v>
      </c>
      <c r="AB52" s="1320">
        <v>59459575</v>
      </c>
      <c r="AC52" s="1317">
        <v>100</v>
      </c>
    </row>
    <row r="53" spans="1:29" ht="15.75" customHeight="1" x14ac:dyDescent="0.2">
      <c r="A53" s="395" t="s">
        <v>202</v>
      </c>
      <c r="B53" s="1178">
        <v>8333547</v>
      </c>
      <c r="C53" s="1104">
        <v>34.9</v>
      </c>
      <c r="D53" s="1090">
        <v>2081858</v>
      </c>
      <c r="E53" s="1104">
        <v>8.6999999999999993</v>
      </c>
      <c r="F53" s="1090">
        <v>11069198</v>
      </c>
      <c r="G53" s="1024">
        <v>46.4</v>
      </c>
      <c r="H53" s="1090">
        <v>583764</v>
      </c>
      <c r="I53" s="1024">
        <v>2.5</v>
      </c>
      <c r="J53" s="1090">
        <v>7138</v>
      </c>
      <c r="K53" s="1299">
        <v>0</v>
      </c>
      <c r="L53" s="1103">
        <v>1241170</v>
      </c>
      <c r="M53" s="1104">
        <v>5.2</v>
      </c>
      <c r="N53" s="1090">
        <v>0</v>
      </c>
      <c r="O53" s="1090">
        <v>0</v>
      </c>
      <c r="P53" s="1090">
        <v>0</v>
      </c>
      <c r="Q53" s="1104">
        <v>0</v>
      </c>
      <c r="R53" s="1297">
        <v>0</v>
      </c>
      <c r="S53" s="1104">
        <v>0</v>
      </c>
      <c r="T53" s="1090">
        <v>0</v>
      </c>
      <c r="U53" s="1104">
        <v>0</v>
      </c>
      <c r="V53" s="1178">
        <v>556824</v>
      </c>
      <c r="W53" s="1299">
        <v>2.2999999999999998</v>
      </c>
      <c r="X53" s="1178">
        <v>535530</v>
      </c>
      <c r="Y53" s="1104">
        <v>2.2000000000000002</v>
      </c>
      <c r="Z53" s="1090">
        <v>0</v>
      </c>
      <c r="AA53" s="1104">
        <v>0</v>
      </c>
      <c r="AB53" s="1300">
        <v>23873499</v>
      </c>
      <c r="AC53" s="1301">
        <v>100</v>
      </c>
    </row>
    <row r="54" spans="1:29" ht="15.75" customHeight="1" x14ac:dyDescent="0.2">
      <c r="A54" s="419" t="s">
        <v>203</v>
      </c>
      <c r="B54" s="1302">
        <v>10230192</v>
      </c>
      <c r="C54" s="1115">
        <v>35.1</v>
      </c>
      <c r="D54" s="1049">
        <v>3008057</v>
      </c>
      <c r="E54" s="1115">
        <v>10.3</v>
      </c>
      <c r="F54" s="1049">
        <v>12942807</v>
      </c>
      <c r="G54" s="1303">
        <v>44.4</v>
      </c>
      <c r="H54" s="1049">
        <v>618183</v>
      </c>
      <c r="I54" s="1303">
        <v>2.1</v>
      </c>
      <c r="J54" s="1049">
        <v>8088</v>
      </c>
      <c r="K54" s="1304">
        <v>0</v>
      </c>
      <c r="L54" s="1114">
        <v>1111030</v>
      </c>
      <c r="M54" s="1115">
        <v>3.8</v>
      </c>
      <c r="N54" s="1049" t="s">
        <v>143</v>
      </c>
      <c r="O54" s="1049" t="s">
        <v>143</v>
      </c>
      <c r="P54" s="1049" t="s">
        <v>143</v>
      </c>
      <c r="Q54" s="1115" t="s">
        <v>143</v>
      </c>
      <c r="R54" s="1314" t="s">
        <v>143</v>
      </c>
      <c r="S54" s="1115" t="s">
        <v>143</v>
      </c>
      <c r="T54" s="1049" t="s">
        <v>143</v>
      </c>
      <c r="U54" s="1115" t="s">
        <v>143</v>
      </c>
      <c r="V54" s="1302">
        <v>1263991</v>
      </c>
      <c r="W54" s="1304">
        <v>4.3</v>
      </c>
      <c r="X54" s="1302">
        <v>1159774</v>
      </c>
      <c r="Y54" s="1115">
        <v>4</v>
      </c>
      <c r="Z54" s="1049" t="s">
        <v>143</v>
      </c>
      <c r="AA54" s="1115" t="s">
        <v>143</v>
      </c>
      <c r="AB54" s="1306">
        <v>29182348</v>
      </c>
      <c r="AC54" s="1307">
        <v>100</v>
      </c>
    </row>
    <row r="55" spans="1:29" ht="15.75" customHeight="1" x14ac:dyDescent="0.2">
      <c r="A55" s="395" t="s">
        <v>204</v>
      </c>
      <c r="B55" s="1178">
        <v>24890642</v>
      </c>
      <c r="C55" s="1104">
        <v>29.4</v>
      </c>
      <c r="D55" s="1090">
        <v>6185631</v>
      </c>
      <c r="E55" s="1104">
        <v>7.3</v>
      </c>
      <c r="F55" s="1090">
        <v>39101878</v>
      </c>
      <c r="G55" s="1024">
        <v>46.1</v>
      </c>
      <c r="H55" s="1090">
        <v>1480875</v>
      </c>
      <c r="I55" s="1024">
        <v>1.8</v>
      </c>
      <c r="J55" s="1090">
        <v>24520</v>
      </c>
      <c r="K55" s="1299">
        <v>0</v>
      </c>
      <c r="L55" s="1103">
        <v>3281458</v>
      </c>
      <c r="M55" s="1104">
        <v>3.9</v>
      </c>
      <c r="N55" s="1090" t="s">
        <v>143</v>
      </c>
      <c r="O55" s="1090" t="s">
        <v>143</v>
      </c>
      <c r="P55" s="1090" t="s">
        <v>143</v>
      </c>
      <c r="Q55" s="1104" t="s">
        <v>143</v>
      </c>
      <c r="R55" s="1297" t="s">
        <v>143</v>
      </c>
      <c r="S55" s="1104" t="s">
        <v>143</v>
      </c>
      <c r="T55" s="1090" t="s">
        <v>143</v>
      </c>
      <c r="U55" s="1104" t="s">
        <v>143</v>
      </c>
      <c r="V55" s="1178">
        <v>9767333</v>
      </c>
      <c r="W55" s="1299">
        <v>11.5</v>
      </c>
      <c r="X55" s="1178">
        <v>5307343</v>
      </c>
      <c r="Y55" s="1104">
        <v>6.3</v>
      </c>
      <c r="Z55" s="1090">
        <v>4432975</v>
      </c>
      <c r="AA55" s="1104">
        <v>5.2</v>
      </c>
      <c r="AB55" s="1300">
        <v>84732337</v>
      </c>
      <c r="AC55" s="1301">
        <v>100</v>
      </c>
    </row>
    <row r="56" spans="1:29" ht="15.75" customHeight="1" x14ac:dyDescent="0.2">
      <c r="A56" s="419" t="s">
        <v>254</v>
      </c>
      <c r="B56" s="1302">
        <v>11630963</v>
      </c>
      <c r="C56" s="1115">
        <v>37.299999999999997</v>
      </c>
      <c r="D56" s="1049">
        <v>2574059</v>
      </c>
      <c r="E56" s="1115">
        <v>8.3000000000000007</v>
      </c>
      <c r="F56" s="1049">
        <v>12917332</v>
      </c>
      <c r="G56" s="1303">
        <v>41.5</v>
      </c>
      <c r="H56" s="1049">
        <v>555839</v>
      </c>
      <c r="I56" s="1303">
        <v>1.8</v>
      </c>
      <c r="J56" s="1049">
        <v>4788</v>
      </c>
      <c r="K56" s="1304">
        <v>0</v>
      </c>
      <c r="L56" s="1114">
        <v>1309206</v>
      </c>
      <c r="M56" s="1115">
        <v>4.3</v>
      </c>
      <c r="N56" s="1049" t="s">
        <v>143</v>
      </c>
      <c r="O56" s="1115" t="s">
        <v>143</v>
      </c>
      <c r="P56" s="1049" t="s">
        <v>143</v>
      </c>
      <c r="Q56" s="1115" t="s">
        <v>143</v>
      </c>
      <c r="R56" s="1048" t="s">
        <v>143</v>
      </c>
      <c r="S56" s="1115" t="s">
        <v>143</v>
      </c>
      <c r="T56" s="1049" t="s">
        <v>143</v>
      </c>
      <c r="U56" s="1115" t="s">
        <v>143</v>
      </c>
      <c r="V56" s="1302">
        <v>2133370</v>
      </c>
      <c r="W56" s="1304">
        <v>6.8</v>
      </c>
      <c r="X56" s="1302">
        <v>2120623</v>
      </c>
      <c r="Y56" s="1115">
        <v>6.8</v>
      </c>
      <c r="Z56" s="1049" t="s">
        <v>143</v>
      </c>
      <c r="AA56" s="1115" t="s">
        <v>143</v>
      </c>
      <c r="AB56" s="1306">
        <v>31145557</v>
      </c>
      <c r="AC56" s="1307">
        <v>100</v>
      </c>
    </row>
    <row r="57" spans="1:29" ht="15.75" customHeight="1" x14ac:dyDescent="0.2">
      <c r="A57" s="395" t="s">
        <v>207</v>
      </c>
      <c r="B57" s="1283">
        <v>23903224</v>
      </c>
      <c r="C57" s="1016">
        <v>31.7</v>
      </c>
      <c r="D57" s="1023">
        <v>6256194</v>
      </c>
      <c r="E57" s="1016">
        <v>8.3000000000000007</v>
      </c>
      <c r="F57" s="1023">
        <v>31657948</v>
      </c>
      <c r="G57" s="1017">
        <v>42</v>
      </c>
      <c r="H57" s="1023">
        <v>1393831</v>
      </c>
      <c r="I57" s="1017">
        <v>1.8</v>
      </c>
      <c r="J57" s="1023">
        <v>11636</v>
      </c>
      <c r="K57" s="1018">
        <v>0</v>
      </c>
      <c r="L57" s="1132">
        <v>3335805</v>
      </c>
      <c r="M57" s="1016">
        <v>4.4000000000000004</v>
      </c>
      <c r="N57" s="1023" t="s">
        <v>143</v>
      </c>
      <c r="O57" s="1023" t="s">
        <v>143</v>
      </c>
      <c r="P57" s="1023" t="s">
        <v>143</v>
      </c>
      <c r="Q57" s="1023" t="s">
        <v>143</v>
      </c>
      <c r="R57" s="1023" t="s">
        <v>143</v>
      </c>
      <c r="S57" s="1023" t="s">
        <v>143</v>
      </c>
      <c r="T57" s="1023" t="s">
        <v>143</v>
      </c>
      <c r="U57" s="1023" t="s">
        <v>143</v>
      </c>
      <c r="V57" s="1283">
        <v>8809494</v>
      </c>
      <c r="W57" s="1018">
        <v>11.7</v>
      </c>
      <c r="X57" s="1283">
        <v>5172173</v>
      </c>
      <c r="Y57" s="1016">
        <v>6.9</v>
      </c>
      <c r="Z57" s="1023">
        <v>3623535</v>
      </c>
      <c r="AA57" s="1016">
        <v>4.8</v>
      </c>
      <c r="AB57" s="1308">
        <v>75368132</v>
      </c>
      <c r="AC57" s="1309">
        <v>100</v>
      </c>
    </row>
    <row r="58" spans="1:29" ht="15.75" customHeight="1" x14ac:dyDescent="0.2">
      <c r="A58" s="419" t="s">
        <v>209</v>
      </c>
      <c r="B58" s="1315">
        <v>12142226</v>
      </c>
      <c r="C58" s="1025">
        <v>36.4</v>
      </c>
      <c r="D58" s="1058">
        <v>3200099</v>
      </c>
      <c r="E58" s="1025">
        <v>9.6</v>
      </c>
      <c r="F58" s="1058">
        <v>14059194</v>
      </c>
      <c r="G58" s="1026">
        <v>42.1</v>
      </c>
      <c r="H58" s="1058">
        <v>702895</v>
      </c>
      <c r="I58" s="1026">
        <v>2.1</v>
      </c>
      <c r="J58" s="1058">
        <v>7008</v>
      </c>
      <c r="K58" s="1316">
        <v>0</v>
      </c>
      <c r="L58" s="1125">
        <v>1802135</v>
      </c>
      <c r="M58" s="1025">
        <v>5.4</v>
      </c>
      <c r="N58" s="1049" t="s">
        <v>143</v>
      </c>
      <c r="O58" s="1049" t="s">
        <v>143</v>
      </c>
      <c r="P58" s="1049">
        <v>465</v>
      </c>
      <c r="Q58" s="1115">
        <v>0</v>
      </c>
      <c r="R58" s="1305" t="s">
        <v>143</v>
      </c>
      <c r="S58" s="1115" t="s">
        <v>143</v>
      </c>
      <c r="T58" s="1049" t="s">
        <v>143</v>
      </c>
      <c r="U58" s="1115" t="s">
        <v>143</v>
      </c>
      <c r="V58" s="1315">
        <v>1459153</v>
      </c>
      <c r="W58" s="1316">
        <v>4.4000000000000004</v>
      </c>
      <c r="X58" s="1322">
        <v>1428990</v>
      </c>
      <c r="Y58" s="1323">
        <v>4.3</v>
      </c>
      <c r="Z58" s="1058" t="s">
        <v>143</v>
      </c>
      <c r="AA58" s="1025" t="s">
        <v>143</v>
      </c>
      <c r="AB58" s="1320">
        <v>33373175</v>
      </c>
      <c r="AC58" s="1317">
        <v>100</v>
      </c>
    </row>
    <row r="59" spans="1:29" ht="15.75" customHeight="1" x14ac:dyDescent="0.2">
      <c r="A59" s="395" t="s">
        <v>210</v>
      </c>
      <c r="B59" s="1178">
        <v>24116400</v>
      </c>
      <c r="C59" s="1104">
        <v>36.799999999999997</v>
      </c>
      <c r="D59" s="1090">
        <v>8775368</v>
      </c>
      <c r="E59" s="1104">
        <v>13.4</v>
      </c>
      <c r="F59" s="1090">
        <v>26289960</v>
      </c>
      <c r="G59" s="1024">
        <v>40.200000000000003</v>
      </c>
      <c r="H59" s="1090">
        <v>1142960</v>
      </c>
      <c r="I59" s="1024">
        <v>1.8</v>
      </c>
      <c r="J59" s="1090">
        <v>8248</v>
      </c>
      <c r="K59" s="1299">
        <v>0</v>
      </c>
      <c r="L59" s="1103">
        <v>2812337</v>
      </c>
      <c r="M59" s="1104">
        <v>4.3</v>
      </c>
      <c r="N59" s="1090" t="s">
        <v>143</v>
      </c>
      <c r="O59" s="1090" t="s">
        <v>143</v>
      </c>
      <c r="P59" s="1090" t="s">
        <v>143</v>
      </c>
      <c r="Q59" s="1104" t="s">
        <v>143</v>
      </c>
      <c r="R59" s="1297" t="s">
        <v>143</v>
      </c>
      <c r="S59" s="1104" t="s">
        <v>143</v>
      </c>
      <c r="T59" s="1090" t="s">
        <v>143</v>
      </c>
      <c r="U59" s="1104" t="s">
        <v>143</v>
      </c>
      <c r="V59" s="1178">
        <v>2318132</v>
      </c>
      <c r="W59" s="1299">
        <v>3.5</v>
      </c>
      <c r="X59" s="1178" t="s">
        <v>143</v>
      </c>
      <c r="Y59" s="1104" t="s">
        <v>143</v>
      </c>
      <c r="Z59" s="1090">
        <v>2293288</v>
      </c>
      <c r="AA59" s="1104">
        <v>3.5</v>
      </c>
      <c r="AB59" s="1300">
        <v>65463405</v>
      </c>
      <c r="AC59" s="1301">
        <v>100</v>
      </c>
    </row>
    <row r="60" spans="1:29" ht="15.75" customHeight="1" x14ac:dyDescent="0.2">
      <c r="A60" s="419" t="s">
        <v>212</v>
      </c>
      <c r="B60" s="1302">
        <v>25170154</v>
      </c>
      <c r="C60" s="1115">
        <v>35.799999999999997</v>
      </c>
      <c r="D60" s="1049">
        <v>7051332</v>
      </c>
      <c r="E60" s="1115">
        <v>10</v>
      </c>
      <c r="F60" s="1049">
        <v>31297804</v>
      </c>
      <c r="G60" s="1303">
        <v>44.6</v>
      </c>
      <c r="H60" s="1049">
        <v>1370849</v>
      </c>
      <c r="I60" s="1303">
        <v>2</v>
      </c>
      <c r="J60" s="1049">
        <v>10531</v>
      </c>
      <c r="K60" s="1304">
        <v>0</v>
      </c>
      <c r="L60" s="1114">
        <v>3211443</v>
      </c>
      <c r="M60" s="1115">
        <v>4.5999999999999996</v>
      </c>
      <c r="N60" s="1049" t="s">
        <v>143</v>
      </c>
      <c r="O60" s="1049" t="s">
        <v>143</v>
      </c>
      <c r="P60" s="1049" t="s">
        <v>143</v>
      </c>
      <c r="Q60" s="1115" t="s">
        <v>143</v>
      </c>
      <c r="R60" s="1305" t="s">
        <v>143</v>
      </c>
      <c r="S60" s="1115" t="s">
        <v>143</v>
      </c>
      <c r="T60" s="1049" t="s">
        <v>143</v>
      </c>
      <c r="U60" s="1115" t="s">
        <v>143</v>
      </c>
      <c r="V60" s="1302">
        <v>2135018</v>
      </c>
      <c r="W60" s="1304">
        <v>3</v>
      </c>
      <c r="X60" s="1302" t="s">
        <v>143</v>
      </c>
      <c r="Y60" s="1115" t="s">
        <v>143</v>
      </c>
      <c r="Z60" s="1049">
        <v>1979414</v>
      </c>
      <c r="AA60" s="1115">
        <v>2.8</v>
      </c>
      <c r="AB60" s="1306">
        <v>70247131</v>
      </c>
      <c r="AC60" s="1307">
        <v>100</v>
      </c>
    </row>
    <row r="61" spans="1:29" ht="15.75" customHeight="1" x14ac:dyDescent="0.2">
      <c r="A61" s="395" t="s">
        <v>213</v>
      </c>
      <c r="B61" s="1178">
        <v>16997849</v>
      </c>
      <c r="C61" s="1104">
        <v>37.5</v>
      </c>
      <c r="D61" s="1090">
        <v>4215226</v>
      </c>
      <c r="E61" s="1104">
        <v>9.3000000000000007</v>
      </c>
      <c r="F61" s="1090">
        <v>19682164</v>
      </c>
      <c r="G61" s="1024">
        <v>43.4</v>
      </c>
      <c r="H61" s="1090">
        <v>1001594</v>
      </c>
      <c r="I61" s="1024">
        <v>2.2000000000000002</v>
      </c>
      <c r="J61" s="1090">
        <v>8866</v>
      </c>
      <c r="K61" s="1299">
        <v>0</v>
      </c>
      <c r="L61" s="1103">
        <v>2317552</v>
      </c>
      <c r="M61" s="1104">
        <v>5.0999999999999996</v>
      </c>
      <c r="N61" s="1090" t="s">
        <v>143</v>
      </c>
      <c r="O61" s="1090" t="s">
        <v>143</v>
      </c>
      <c r="P61" s="1090" t="s">
        <v>143</v>
      </c>
      <c r="Q61" s="1104" t="s">
        <v>143</v>
      </c>
      <c r="R61" s="1297" t="s">
        <v>143</v>
      </c>
      <c r="S61" s="1104" t="s">
        <v>143</v>
      </c>
      <c r="T61" s="1090">
        <v>4163</v>
      </c>
      <c r="U61" s="1104">
        <v>0</v>
      </c>
      <c r="V61" s="1178">
        <v>1125275</v>
      </c>
      <c r="W61" s="1299">
        <v>2.5</v>
      </c>
      <c r="X61" s="1178" t="s">
        <v>143</v>
      </c>
      <c r="Y61" s="1104" t="s">
        <v>143</v>
      </c>
      <c r="Z61" s="1090">
        <v>1107601</v>
      </c>
      <c r="AA61" s="1104">
        <v>2.5</v>
      </c>
      <c r="AB61" s="1300">
        <v>45352689</v>
      </c>
      <c r="AC61" s="1301">
        <v>100</v>
      </c>
    </row>
    <row r="62" spans="1:29" ht="15.75" customHeight="1" x14ac:dyDescent="0.2">
      <c r="A62" s="419" t="s">
        <v>215</v>
      </c>
      <c r="B62" s="1302">
        <v>15433238</v>
      </c>
      <c r="C62" s="1115">
        <v>36.799999999999997</v>
      </c>
      <c r="D62" s="1049">
        <v>3395795</v>
      </c>
      <c r="E62" s="1115">
        <v>8.1</v>
      </c>
      <c r="F62" s="1049">
        <v>16458567</v>
      </c>
      <c r="G62" s="1303">
        <v>39.299999999999997</v>
      </c>
      <c r="H62" s="1049">
        <v>815086</v>
      </c>
      <c r="I62" s="1303">
        <v>1.9</v>
      </c>
      <c r="J62" s="1049">
        <v>7387</v>
      </c>
      <c r="K62" s="1304">
        <v>0</v>
      </c>
      <c r="L62" s="1114">
        <v>2080243</v>
      </c>
      <c r="M62" s="1115">
        <v>5</v>
      </c>
      <c r="N62" s="1049" t="s">
        <v>143</v>
      </c>
      <c r="O62" s="1049" t="s">
        <v>143</v>
      </c>
      <c r="P62" s="1049" t="s">
        <v>143</v>
      </c>
      <c r="Q62" s="1115" t="s">
        <v>143</v>
      </c>
      <c r="R62" s="1305" t="s">
        <v>143</v>
      </c>
      <c r="S62" s="1115" t="s">
        <v>143</v>
      </c>
      <c r="T62" s="1049" t="s">
        <v>143</v>
      </c>
      <c r="U62" s="1115" t="s">
        <v>143</v>
      </c>
      <c r="V62" s="1302">
        <v>3705939</v>
      </c>
      <c r="W62" s="1304">
        <v>8.8000000000000007</v>
      </c>
      <c r="X62" s="1302">
        <v>2536804</v>
      </c>
      <c r="Y62" s="1115">
        <v>6.1</v>
      </c>
      <c r="Z62" s="1049">
        <v>1166141</v>
      </c>
      <c r="AA62" s="1115">
        <v>2.8</v>
      </c>
      <c r="AB62" s="1306">
        <v>41896255</v>
      </c>
      <c r="AC62" s="1307">
        <v>100</v>
      </c>
    </row>
    <row r="63" spans="1:29" ht="15.75" customHeight="1" x14ac:dyDescent="0.2">
      <c r="A63" s="395" t="s">
        <v>216</v>
      </c>
      <c r="B63" s="1324">
        <v>19860861</v>
      </c>
      <c r="C63" s="1104">
        <v>35.860861339825036</v>
      </c>
      <c r="D63" s="1090">
        <v>5872191</v>
      </c>
      <c r="E63" s="1104">
        <v>10.6028548919389</v>
      </c>
      <c r="F63" s="1090">
        <v>20406410</v>
      </c>
      <c r="G63" s="1104">
        <v>36.845907106122894</v>
      </c>
      <c r="H63" s="1090">
        <v>927008</v>
      </c>
      <c r="I63" s="1104">
        <v>1.6738098790837177</v>
      </c>
      <c r="J63" s="1090">
        <v>7007</v>
      </c>
      <c r="K63" s="1299">
        <v>1.265187120579284E-2</v>
      </c>
      <c r="L63" s="1103">
        <v>2717217</v>
      </c>
      <c r="M63" s="1104">
        <v>4.9062194266006571</v>
      </c>
      <c r="N63" s="1178" t="s">
        <v>143</v>
      </c>
      <c r="O63" s="1090" t="s">
        <v>143</v>
      </c>
      <c r="P63" s="1090" t="s">
        <v>143</v>
      </c>
      <c r="Q63" s="1104" t="s">
        <v>143</v>
      </c>
      <c r="R63" s="1297" t="s">
        <v>143</v>
      </c>
      <c r="S63" s="1104" t="s">
        <v>143</v>
      </c>
      <c r="T63" s="1090" t="s">
        <v>143</v>
      </c>
      <c r="U63" s="1104" t="s">
        <v>143</v>
      </c>
      <c r="V63" s="1324">
        <v>5592418</v>
      </c>
      <c r="W63" s="1299">
        <v>10.097695485223005</v>
      </c>
      <c r="X63" s="1178">
        <v>3805793</v>
      </c>
      <c r="Y63" s="1104">
        <v>6.87175722447666</v>
      </c>
      <c r="Z63" s="1090">
        <v>1752226</v>
      </c>
      <c r="AA63" s="1325">
        <v>3.1638272692224301</v>
      </c>
      <c r="AB63" s="1326">
        <v>55383112</v>
      </c>
      <c r="AC63" s="1299">
        <v>100</v>
      </c>
    </row>
    <row r="64" spans="1:29" ht="15.75" customHeight="1" x14ac:dyDescent="0.2">
      <c r="A64" s="419" t="s">
        <v>217</v>
      </c>
      <c r="B64" s="1302">
        <v>10952624</v>
      </c>
      <c r="C64" s="1303">
        <v>36.799999999999997</v>
      </c>
      <c r="D64" s="1302">
        <v>2337470</v>
      </c>
      <c r="E64" s="1303">
        <v>7.8</v>
      </c>
      <c r="F64" s="1302">
        <v>11989189</v>
      </c>
      <c r="G64" s="1303">
        <v>40.299999999999997</v>
      </c>
      <c r="H64" s="1302">
        <v>722525</v>
      </c>
      <c r="I64" s="1303">
        <v>2.4</v>
      </c>
      <c r="J64" s="1302">
        <v>6351</v>
      </c>
      <c r="K64" s="1304">
        <v>0</v>
      </c>
      <c r="L64" s="1114">
        <v>1805293</v>
      </c>
      <c r="M64" s="1303">
        <v>6.1</v>
      </c>
      <c r="N64" s="1302" t="s">
        <v>143</v>
      </c>
      <c r="O64" s="1302" t="s">
        <v>143</v>
      </c>
      <c r="P64" s="1302" t="s">
        <v>143</v>
      </c>
      <c r="Q64" s="1302" t="s">
        <v>143</v>
      </c>
      <c r="R64" s="1327" t="s">
        <v>143</v>
      </c>
      <c r="S64" s="1049" t="s">
        <v>143</v>
      </c>
      <c r="T64" s="1049" t="s">
        <v>143</v>
      </c>
      <c r="U64" s="1302" t="s">
        <v>143</v>
      </c>
      <c r="V64" s="1302">
        <v>1972373</v>
      </c>
      <c r="W64" s="1328">
        <v>6.6</v>
      </c>
      <c r="X64" s="1302">
        <v>1913528</v>
      </c>
      <c r="Y64" s="1303">
        <v>6.4</v>
      </c>
      <c r="Z64" s="1302" t="s">
        <v>143</v>
      </c>
      <c r="AA64" s="1329" t="s">
        <v>143</v>
      </c>
      <c r="AB64" s="1306">
        <v>29785825</v>
      </c>
      <c r="AC64" s="1328">
        <v>100</v>
      </c>
    </row>
    <row r="65" spans="1:35" ht="15.75" customHeight="1" x14ac:dyDescent="0.2">
      <c r="A65" s="395" t="s">
        <v>219</v>
      </c>
      <c r="B65" s="1324">
        <v>24659029</v>
      </c>
      <c r="C65" s="1104">
        <v>31</v>
      </c>
      <c r="D65" s="1090">
        <v>6726858</v>
      </c>
      <c r="E65" s="1104">
        <v>8.4</v>
      </c>
      <c r="F65" s="1090">
        <v>35821157</v>
      </c>
      <c r="G65" s="1104">
        <v>45</v>
      </c>
      <c r="H65" s="1090">
        <v>1304458</v>
      </c>
      <c r="I65" s="1104">
        <v>1.6</v>
      </c>
      <c r="J65" s="1090">
        <v>10505</v>
      </c>
      <c r="K65" s="1299">
        <v>0</v>
      </c>
      <c r="L65" s="1103">
        <v>3260697</v>
      </c>
      <c r="M65" s="1104">
        <v>4.0999999999999996</v>
      </c>
      <c r="N65" s="1178" t="s">
        <v>143</v>
      </c>
      <c r="O65" s="1090" t="s">
        <v>143</v>
      </c>
      <c r="P65" s="1090" t="s">
        <v>143</v>
      </c>
      <c r="Q65" s="1104" t="s">
        <v>143</v>
      </c>
      <c r="R65" s="1297" t="s">
        <v>143</v>
      </c>
      <c r="S65" s="1104" t="s">
        <v>143</v>
      </c>
      <c r="T65" s="1090" t="s">
        <v>143</v>
      </c>
      <c r="U65" s="1104" t="s">
        <v>143</v>
      </c>
      <c r="V65" s="1324">
        <v>7847973</v>
      </c>
      <c r="W65" s="1299">
        <v>9.9</v>
      </c>
      <c r="X65" s="1178">
        <v>4730572</v>
      </c>
      <c r="Y65" s="1104">
        <v>5.9</v>
      </c>
      <c r="Z65" s="1090">
        <v>3071415</v>
      </c>
      <c r="AA65" s="1325">
        <v>3.9</v>
      </c>
      <c r="AB65" s="1326">
        <v>79630677</v>
      </c>
      <c r="AC65" s="1299">
        <v>100</v>
      </c>
    </row>
    <row r="66" spans="1:35" ht="15.75" customHeight="1" x14ac:dyDescent="0.2">
      <c r="A66" s="419" t="s">
        <v>220</v>
      </c>
      <c r="B66" s="1302">
        <v>18894138</v>
      </c>
      <c r="C66" s="1303">
        <v>34.700000000000003</v>
      </c>
      <c r="D66" s="1302">
        <v>4381755</v>
      </c>
      <c r="E66" s="1303">
        <v>8</v>
      </c>
      <c r="F66" s="1302">
        <v>23033116</v>
      </c>
      <c r="G66" s="1303">
        <v>42.3</v>
      </c>
      <c r="H66" s="1302">
        <v>1196874</v>
      </c>
      <c r="I66" s="1303">
        <v>2.2000000000000002</v>
      </c>
      <c r="J66" s="1302">
        <v>10475</v>
      </c>
      <c r="K66" s="1304">
        <v>0</v>
      </c>
      <c r="L66" s="1114">
        <v>2769998</v>
      </c>
      <c r="M66" s="1303">
        <v>5.0999999999999996</v>
      </c>
      <c r="N66" s="1302" t="s">
        <v>143</v>
      </c>
      <c r="O66" s="1302" t="s">
        <v>143</v>
      </c>
      <c r="P66" s="1302" t="s">
        <v>143</v>
      </c>
      <c r="Q66" s="1302" t="s">
        <v>143</v>
      </c>
      <c r="R66" s="1327" t="s">
        <v>143</v>
      </c>
      <c r="S66" s="1049" t="s">
        <v>143</v>
      </c>
      <c r="T66" s="1049" t="s">
        <v>143</v>
      </c>
      <c r="U66" s="1302" t="s">
        <v>143</v>
      </c>
      <c r="V66" s="1302">
        <v>4192158</v>
      </c>
      <c r="W66" s="1328">
        <v>7.7</v>
      </c>
      <c r="X66" s="1302">
        <v>2537449</v>
      </c>
      <c r="Y66" s="1303">
        <v>4.7</v>
      </c>
      <c r="Z66" s="1302">
        <v>1564437</v>
      </c>
      <c r="AA66" s="1329">
        <v>2.9</v>
      </c>
      <c r="AB66" s="1306">
        <v>54478514</v>
      </c>
      <c r="AC66" s="1328">
        <v>100</v>
      </c>
    </row>
    <row r="67" spans="1:35" ht="15.75" customHeight="1" x14ac:dyDescent="0.2">
      <c r="A67" s="395" t="s">
        <v>221</v>
      </c>
      <c r="B67" s="1324">
        <v>29670230</v>
      </c>
      <c r="C67" s="1104">
        <v>33.4</v>
      </c>
      <c r="D67" s="1090">
        <v>7418736</v>
      </c>
      <c r="E67" s="1104">
        <v>8.4</v>
      </c>
      <c r="F67" s="1090">
        <v>37151658</v>
      </c>
      <c r="G67" s="1104">
        <v>41.9</v>
      </c>
      <c r="H67" s="1090">
        <v>1541320</v>
      </c>
      <c r="I67" s="1104">
        <v>1.74</v>
      </c>
      <c r="J67" s="1178">
        <v>13449</v>
      </c>
      <c r="K67" s="1299">
        <v>0.02</v>
      </c>
      <c r="L67" s="1103">
        <v>3766885</v>
      </c>
      <c r="M67" s="1024">
        <v>4.24</v>
      </c>
      <c r="N67" s="1178" t="s">
        <v>143</v>
      </c>
      <c r="O67" s="1178" t="s">
        <v>143</v>
      </c>
      <c r="P67" s="1178">
        <v>7701</v>
      </c>
      <c r="Q67" s="1178">
        <v>0.01</v>
      </c>
      <c r="R67" s="1324" t="s">
        <v>143</v>
      </c>
      <c r="S67" s="1090" t="s">
        <v>143</v>
      </c>
      <c r="T67" s="1090" t="s">
        <v>143</v>
      </c>
      <c r="U67" s="1178" t="s">
        <v>143</v>
      </c>
      <c r="V67" s="1178">
        <v>9192501</v>
      </c>
      <c r="W67" s="1330">
        <v>10.4</v>
      </c>
      <c r="X67" s="1178">
        <v>7124906</v>
      </c>
      <c r="Y67" s="1024">
        <v>8.0299999999999994</v>
      </c>
      <c r="Z67" s="1178">
        <v>2004398</v>
      </c>
      <c r="AA67" s="1325">
        <v>2.2999999999999998</v>
      </c>
      <c r="AB67" s="1300">
        <v>88762480</v>
      </c>
      <c r="AC67" s="1330">
        <v>100</v>
      </c>
      <c r="AI67" s="595"/>
    </row>
    <row r="68" spans="1:35" ht="15.75" customHeight="1" thickBot="1" x14ac:dyDescent="0.25">
      <c r="A68" s="419" t="s">
        <v>223</v>
      </c>
      <c r="B68" s="1302">
        <v>16365191</v>
      </c>
      <c r="C68" s="1115">
        <v>32.5</v>
      </c>
      <c r="D68" s="1049">
        <v>5691895</v>
      </c>
      <c r="E68" s="1115">
        <v>11.3</v>
      </c>
      <c r="F68" s="1049">
        <v>22809227</v>
      </c>
      <c r="G68" s="1303">
        <v>45.4</v>
      </c>
      <c r="H68" s="1049">
        <v>756849</v>
      </c>
      <c r="I68" s="1303">
        <v>1.51</v>
      </c>
      <c r="J68" s="1049">
        <v>2539</v>
      </c>
      <c r="K68" s="1304">
        <v>0.01</v>
      </c>
      <c r="L68" s="1114">
        <v>3540004</v>
      </c>
      <c r="M68" s="1115">
        <v>7</v>
      </c>
      <c r="N68" s="1049">
        <v>0</v>
      </c>
      <c r="O68" s="1049">
        <v>0</v>
      </c>
      <c r="P68" s="1049">
        <v>0</v>
      </c>
      <c r="Q68" s="1115">
        <v>0</v>
      </c>
      <c r="R68" s="1327">
        <v>0</v>
      </c>
      <c r="S68" s="1115">
        <v>0</v>
      </c>
      <c r="T68" s="1331">
        <v>0</v>
      </c>
      <c r="U68" s="1332">
        <v>0</v>
      </c>
      <c r="V68" s="1302">
        <v>1106907</v>
      </c>
      <c r="W68" s="1304">
        <v>2.2000000000000002</v>
      </c>
      <c r="X68" s="1302">
        <v>0</v>
      </c>
      <c r="Y68" s="1115">
        <v>0</v>
      </c>
      <c r="Z68" s="1049">
        <v>1097605</v>
      </c>
      <c r="AA68" s="1115">
        <v>2.2000000000000002</v>
      </c>
      <c r="AB68" s="1306">
        <v>50272612</v>
      </c>
      <c r="AC68" s="1307">
        <v>100</v>
      </c>
    </row>
    <row r="69" spans="1:35" ht="15.75" customHeight="1" thickTop="1" x14ac:dyDescent="0.2">
      <c r="A69" s="975" t="s">
        <v>224</v>
      </c>
      <c r="B69" s="532">
        <f>SUM(B7:B68)</f>
        <v>1322964059</v>
      </c>
      <c r="C69" s="533" t="s">
        <v>139</v>
      </c>
      <c r="D69" s="533">
        <f>SUM(D7:D68)</f>
        <v>322497330</v>
      </c>
      <c r="E69" s="533" t="s">
        <v>139</v>
      </c>
      <c r="F69" s="533">
        <f>SUM(F7:F68)</f>
        <v>1451015377</v>
      </c>
      <c r="G69" s="533" t="s">
        <v>139</v>
      </c>
      <c r="H69" s="533">
        <f>SUM(H7:H68)</f>
        <v>47842117</v>
      </c>
      <c r="I69" s="533" t="s">
        <v>139</v>
      </c>
      <c r="J69" s="533">
        <f>SUM(J7:J68)</f>
        <v>503624</v>
      </c>
      <c r="K69" s="534" t="s">
        <v>139</v>
      </c>
      <c r="L69" s="531">
        <f>SUM(L7:L68)</f>
        <v>149313166</v>
      </c>
      <c r="M69" s="533" t="s">
        <v>139</v>
      </c>
      <c r="N69" s="533" t="s">
        <v>139</v>
      </c>
      <c r="O69" s="533" t="s">
        <v>139</v>
      </c>
      <c r="P69" s="533">
        <f>SUM(P7:P68)</f>
        <v>42302</v>
      </c>
      <c r="Q69" s="533" t="s">
        <v>139</v>
      </c>
      <c r="R69" s="533" t="s">
        <v>139</v>
      </c>
      <c r="S69" s="533" t="s">
        <v>139</v>
      </c>
      <c r="T69" s="533">
        <f>SUM(T7:T68)</f>
        <v>19809</v>
      </c>
      <c r="U69" s="538" t="s">
        <v>139</v>
      </c>
      <c r="V69" s="538">
        <f>SUM(V7:V68)</f>
        <v>322749296</v>
      </c>
      <c r="W69" s="944" t="s">
        <v>139</v>
      </c>
      <c r="X69" s="538">
        <f>SUM(X7:X68)</f>
        <v>222232616</v>
      </c>
      <c r="Y69" s="538" t="s">
        <v>139</v>
      </c>
      <c r="Z69" s="538">
        <f>SUM(Z7:Z68)</f>
        <v>97554550</v>
      </c>
      <c r="AA69" s="532" t="s">
        <v>139</v>
      </c>
      <c r="AB69" s="976">
        <f>SUM(AB7:AB68)</f>
        <v>3616967080</v>
      </c>
      <c r="AC69" s="534" t="s">
        <v>139</v>
      </c>
    </row>
    <row r="70" spans="1:35" ht="15.75" customHeight="1" thickBot="1" x14ac:dyDescent="0.25">
      <c r="A70" s="766" t="s">
        <v>225</v>
      </c>
      <c r="B70" s="553">
        <f>AVERAGE(B7:B68)</f>
        <v>21338129.983870968</v>
      </c>
      <c r="C70" s="233">
        <f t="shared" ref="C70:AA70" si="0">AVERAGE(C7:C68)</f>
        <v>36.783172269329526</v>
      </c>
      <c r="D70" s="230">
        <f t="shared" si="0"/>
        <v>5201569.8387096776</v>
      </c>
      <c r="E70" s="233">
        <f t="shared" si="0"/>
        <v>8.7615676636851543</v>
      </c>
      <c r="F70" s="230">
        <f t="shared" si="0"/>
        <v>23403473.822580647</v>
      </c>
      <c r="G70" s="233">
        <f t="shared" si="0"/>
        <v>40.408804681616722</v>
      </c>
      <c r="H70" s="230">
        <f>AVERAGE(H7:H68)</f>
        <v>771647.04838709673</v>
      </c>
      <c r="I70" s="233">
        <f>AVERAGE(I7:I68)</f>
        <v>1.4358763373209127</v>
      </c>
      <c r="J70" s="230">
        <f t="shared" si="0"/>
        <v>8122.9677419354839</v>
      </c>
      <c r="K70" s="272">
        <f t="shared" si="0"/>
        <v>4.5707258422517053E-3</v>
      </c>
      <c r="L70" s="552">
        <f t="shared" si="0"/>
        <v>2408276.8709677421</v>
      </c>
      <c r="M70" s="233">
        <f t="shared" si="0"/>
        <v>4.3355641350777017</v>
      </c>
      <c r="N70" s="230" t="s">
        <v>139</v>
      </c>
      <c r="O70" s="233" t="s">
        <v>139</v>
      </c>
      <c r="P70" s="230">
        <f t="shared" si="0"/>
        <v>2014.3809523809523</v>
      </c>
      <c r="Q70" s="233">
        <f t="shared" si="0"/>
        <v>5.5500710984562529E-3</v>
      </c>
      <c r="R70" s="230" t="s">
        <v>139</v>
      </c>
      <c r="S70" s="233" t="s">
        <v>139</v>
      </c>
      <c r="T70" s="230">
        <f t="shared" si="0"/>
        <v>861.26086956521738</v>
      </c>
      <c r="U70" s="977">
        <f t="shared" si="0"/>
        <v>0</v>
      </c>
      <c r="V70" s="233">
        <f>AVERAGE(V7:V68)</f>
        <v>5290972.0655737706</v>
      </c>
      <c r="W70" s="978">
        <f t="shared" si="0"/>
        <v>8.3991622003226567</v>
      </c>
      <c r="X70" s="556">
        <f t="shared" si="0"/>
        <v>3968439.5714285714</v>
      </c>
      <c r="Y70" s="269">
        <f t="shared" si="0"/>
        <v>6.5139663874649978</v>
      </c>
      <c r="Z70" s="556">
        <f t="shared" si="0"/>
        <v>1951091</v>
      </c>
      <c r="AA70" s="977">
        <f t="shared" si="0"/>
        <v>2.8435735671983151</v>
      </c>
      <c r="AB70" s="979">
        <f>AVERAGE(AB7:AB68)</f>
        <v>58338178.709677421</v>
      </c>
      <c r="AC70" s="272" t="s">
        <v>139</v>
      </c>
      <c r="AI70" s="595"/>
    </row>
    <row r="71" spans="1:35" ht="13.8" thickTop="1" x14ac:dyDescent="0.2">
      <c r="A71" s="287" t="s">
        <v>255</v>
      </c>
    </row>
    <row r="133" spans="2:29" ht="28.5" customHeight="1" x14ac:dyDescent="0.2">
      <c r="B133" s="1575"/>
      <c r="C133" s="1575"/>
      <c r="D133" s="1575"/>
      <c r="E133" s="1575"/>
      <c r="F133" s="1575"/>
      <c r="G133" s="1575"/>
      <c r="H133" s="574"/>
      <c r="I133" s="574"/>
      <c r="J133" s="1575"/>
      <c r="K133" s="1575"/>
      <c r="L133" s="1575"/>
      <c r="M133" s="1575"/>
      <c r="N133" s="1575"/>
      <c r="O133" s="1575"/>
      <c r="P133" s="1575"/>
      <c r="Q133" s="1575"/>
      <c r="R133" s="1575"/>
      <c r="S133" s="1575"/>
      <c r="T133" s="1575"/>
      <c r="U133" s="1575"/>
      <c r="V133" s="1575"/>
      <c r="W133" s="1575"/>
      <c r="X133" s="1575"/>
      <c r="Y133" s="1575"/>
      <c r="Z133" s="1575"/>
      <c r="AA133" s="1575"/>
      <c r="AB133" s="1575"/>
      <c r="AC133" s="1575"/>
    </row>
  </sheetData>
  <mergeCells count="19">
    <mergeCell ref="V133:AC133"/>
    <mergeCell ref="R3:S4"/>
    <mergeCell ref="T3:U4"/>
    <mergeCell ref="V3:W4"/>
    <mergeCell ref="AB3:AC4"/>
    <mergeCell ref="X4:Y4"/>
    <mergeCell ref="Z4:AA4"/>
    <mergeCell ref="L3:M4"/>
    <mergeCell ref="N3:O4"/>
    <mergeCell ref="P3:Q4"/>
    <mergeCell ref="B133:G133"/>
    <mergeCell ref="J133:U133"/>
    <mergeCell ref="B4:C4"/>
    <mergeCell ref="D4:E4"/>
    <mergeCell ref="H4:I4"/>
    <mergeCell ref="J4:K4"/>
    <mergeCell ref="B3:E3"/>
    <mergeCell ref="F3:G4"/>
    <mergeCell ref="H3:K3"/>
  </mergeCells>
  <phoneticPr fontId="2"/>
  <dataValidations count="1">
    <dataValidation imeMode="disabled" allowBlank="1" showInputMessage="1" showErrorMessage="1" sqref="B7:AC68" xr:uid="{A7A8788A-FF64-4139-8DB7-836E9A3BE945}"/>
  </dataValidations>
  <pageMargins left="0.74803149606299213" right="0.23622047244094491" top="1.1023622047244095" bottom="0.39370078740157483" header="0.59055118110236227" footer="0.31496062992125984"/>
  <pageSetup paperSize="9" scale="65" firstPageNumber="12" fitToWidth="0" orientation="portrait" r:id="rId1"/>
  <headerFooter alignWithMargins="0">
    <oddHeader xml:space="preserve">&amp;L&amp;"ＭＳ Ｐゴシック,太字"&amp;16ⅳ　市税内訳
（令和元年度）&amp;"ＭＳ Ｐゴシック,標準"&amp;11
</oddHeader>
  </headerFooter>
  <colBreaks count="1" manualBreakCount="1">
    <brk id="11" min="2" max="70"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CEB5A-F1A2-4EFD-806E-0DF837D0EE7E}">
  <dimension ref="A1:AC133"/>
  <sheetViews>
    <sheetView showGridLines="0" view="pageBreakPreview" zoomScaleNormal="90" zoomScaleSheetLayoutView="100" workbookViewId="0">
      <pane xSplit="1" ySplit="6" topLeftCell="B7" activePane="bottomRight" state="frozen"/>
      <selection activeCell="E12" sqref="E12"/>
      <selection pane="topRight" activeCell="E12" sqref="E12"/>
      <selection pane="bottomLeft" activeCell="E12" sqref="E12"/>
      <selection pane="bottomRight" activeCell="E12" sqref="E12"/>
    </sheetView>
  </sheetViews>
  <sheetFormatPr defaultRowHeight="13.2" x14ac:dyDescent="0.2"/>
  <cols>
    <col min="1" max="1" width="13.77734375" customWidth="1"/>
    <col min="2" max="2" width="10.33203125" customWidth="1"/>
    <col min="3" max="10" width="10.6640625" customWidth="1"/>
    <col min="22" max="22" width="9.77734375" bestFit="1" customWidth="1"/>
  </cols>
  <sheetData>
    <row r="1" spans="1:29" ht="19.5" customHeight="1" x14ac:dyDescent="0.2">
      <c r="A1" s="52" t="s">
        <v>722</v>
      </c>
      <c r="B1" s="52"/>
      <c r="E1" s="38"/>
    </row>
    <row r="2" spans="1:29" ht="19.5" customHeight="1" x14ac:dyDescent="0.2">
      <c r="A2" s="832" t="s">
        <v>655</v>
      </c>
      <c r="B2" s="832"/>
    </row>
    <row r="3" spans="1:29" ht="17.25" customHeight="1" x14ac:dyDescent="0.2">
      <c r="A3" s="61" t="s">
        <v>390</v>
      </c>
      <c r="B3" s="1457" t="s">
        <v>706</v>
      </c>
      <c r="C3" s="1784"/>
      <c r="D3" s="1784"/>
      <c r="E3" s="1784" t="s">
        <v>707</v>
      </c>
      <c r="F3" s="1784"/>
      <c r="G3" s="1453"/>
      <c r="H3" s="1785" t="s">
        <v>723</v>
      </c>
      <c r="I3" s="1784"/>
      <c r="J3" s="1695"/>
    </row>
    <row r="4" spans="1:29" ht="17.25" customHeight="1" x14ac:dyDescent="0.2">
      <c r="A4" s="69"/>
      <c r="B4" s="1786" t="s">
        <v>724</v>
      </c>
      <c r="C4" s="1783" t="s">
        <v>725</v>
      </c>
      <c r="D4" s="1536" t="s">
        <v>726</v>
      </c>
      <c r="E4" s="1783" t="s">
        <v>724</v>
      </c>
      <c r="F4" s="1783" t="s">
        <v>725</v>
      </c>
      <c r="G4" s="1538" t="s">
        <v>727</v>
      </c>
      <c r="H4" s="1788" t="s">
        <v>724</v>
      </c>
      <c r="I4" s="1783" t="s">
        <v>725</v>
      </c>
      <c r="J4" s="1537" t="s">
        <v>727</v>
      </c>
    </row>
    <row r="5" spans="1:29" ht="17.25" customHeight="1" x14ac:dyDescent="0.2">
      <c r="A5" s="576"/>
      <c r="B5" s="1787"/>
      <c r="C5" s="1536"/>
      <c r="D5" s="1536"/>
      <c r="E5" s="1536"/>
      <c r="F5" s="1783"/>
      <c r="G5" s="1538"/>
      <c r="H5" s="1788"/>
      <c r="I5" s="1783"/>
      <c r="J5" s="1537"/>
    </row>
    <row r="6" spans="1:29" ht="17.25" customHeight="1" x14ac:dyDescent="0.2">
      <c r="A6" s="91" t="s">
        <v>414</v>
      </c>
      <c r="B6" s="93" t="s">
        <v>131</v>
      </c>
      <c r="C6" s="94" t="s">
        <v>131</v>
      </c>
      <c r="D6" s="94" t="s">
        <v>131</v>
      </c>
      <c r="E6" s="94" t="s">
        <v>131</v>
      </c>
      <c r="F6" s="94" t="s">
        <v>131</v>
      </c>
      <c r="G6" s="96" t="s">
        <v>131</v>
      </c>
      <c r="H6" s="963" t="s">
        <v>131</v>
      </c>
      <c r="I6" s="94" t="s">
        <v>131</v>
      </c>
      <c r="J6" s="95" t="s">
        <v>131</v>
      </c>
    </row>
    <row r="7" spans="1:29" ht="15.75" customHeight="1" x14ac:dyDescent="0.2">
      <c r="A7" s="395" t="s">
        <v>142</v>
      </c>
      <c r="B7" s="141">
        <v>98.9</v>
      </c>
      <c r="C7" s="105">
        <v>25</v>
      </c>
      <c r="D7" s="105">
        <v>96.6</v>
      </c>
      <c r="E7" s="105">
        <v>98.8</v>
      </c>
      <c r="F7" s="105">
        <v>21.5</v>
      </c>
      <c r="G7" s="109">
        <v>96.8</v>
      </c>
      <c r="H7" s="980">
        <v>98.9</v>
      </c>
      <c r="I7" s="105">
        <v>23.5</v>
      </c>
      <c r="J7" s="142">
        <v>96.9</v>
      </c>
    </row>
    <row r="8" spans="1:29" ht="15.75" customHeight="1" x14ac:dyDescent="0.2">
      <c r="A8" s="419" t="s">
        <v>144</v>
      </c>
      <c r="B8" s="192">
        <v>99.2</v>
      </c>
      <c r="C8" s="162">
        <v>26</v>
      </c>
      <c r="D8" s="162">
        <v>96.9</v>
      </c>
      <c r="E8" s="162">
        <v>99.1</v>
      </c>
      <c r="F8" s="162">
        <v>10.9</v>
      </c>
      <c r="G8" s="200">
        <v>94.8</v>
      </c>
      <c r="H8" s="981">
        <v>99.2</v>
      </c>
      <c r="I8" s="162">
        <v>16.7</v>
      </c>
      <c r="J8" s="164">
        <v>96.1</v>
      </c>
      <c r="AB8" s="583"/>
      <c r="AC8" s="583"/>
    </row>
    <row r="9" spans="1:29" ht="15.75" customHeight="1" x14ac:dyDescent="0.2">
      <c r="A9" s="395" t="s">
        <v>145</v>
      </c>
      <c r="B9" s="141">
        <v>99</v>
      </c>
      <c r="C9" s="105">
        <v>18.3</v>
      </c>
      <c r="D9" s="105">
        <v>95.6</v>
      </c>
      <c r="E9" s="105">
        <v>98.6</v>
      </c>
      <c r="F9" s="105">
        <v>11.3</v>
      </c>
      <c r="G9" s="109">
        <v>92.1</v>
      </c>
      <c r="H9" s="980">
        <v>98.9</v>
      </c>
      <c r="I9" s="105">
        <v>13.9</v>
      </c>
      <c r="J9" s="142">
        <v>94.2</v>
      </c>
      <c r="AB9" s="583"/>
      <c r="AC9" s="583"/>
    </row>
    <row r="10" spans="1:29" ht="15.75" customHeight="1" x14ac:dyDescent="0.2">
      <c r="A10" s="419" t="s">
        <v>147</v>
      </c>
      <c r="B10" s="131">
        <v>98.9</v>
      </c>
      <c r="C10" s="124">
        <v>30.4</v>
      </c>
      <c r="D10" s="124">
        <v>96.7</v>
      </c>
      <c r="E10" s="124">
        <v>98.8</v>
      </c>
      <c r="F10" s="124">
        <v>18.399999999999999</v>
      </c>
      <c r="G10" s="127">
        <v>94.8</v>
      </c>
      <c r="H10" s="982">
        <v>98.9</v>
      </c>
      <c r="I10" s="124">
        <v>22.8</v>
      </c>
      <c r="J10" s="132">
        <v>95.9</v>
      </c>
      <c r="K10" s="1"/>
      <c r="L10" s="1"/>
      <c r="M10" s="1"/>
      <c r="P10" s="1"/>
      <c r="Q10" s="1"/>
      <c r="R10" s="1"/>
      <c r="S10" s="1"/>
      <c r="T10" s="1"/>
      <c r="U10" s="1"/>
      <c r="V10" s="1"/>
      <c r="W10" s="1"/>
      <c r="X10" s="1"/>
      <c r="Y10" s="1"/>
      <c r="Z10" s="1"/>
      <c r="AA10" s="1"/>
      <c r="AB10" s="983"/>
      <c r="AC10" s="583"/>
    </row>
    <row r="11" spans="1:29" ht="15.75" customHeight="1" x14ac:dyDescent="0.2">
      <c r="A11" s="395" t="s">
        <v>148</v>
      </c>
      <c r="B11" s="179">
        <v>99.1</v>
      </c>
      <c r="C11" s="171">
        <v>41.9</v>
      </c>
      <c r="D11" s="171">
        <v>97.9</v>
      </c>
      <c r="E11" s="171">
        <v>99</v>
      </c>
      <c r="F11" s="171">
        <v>35.6</v>
      </c>
      <c r="G11" s="196">
        <v>97.3</v>
      </c>
      <c r="H11" s="984">
        <v>99.1</v>
      </c>
      <c r="I11" s="171">
        <v>38.299999999999997</v>
      </c>
      <c r="J11" s="180">
        <v>97.7</v>
      </c>
      <c r="K11" s="1"/>
      <c r="L11" s="1"/>
      <c r="M11" s="1"/>
      <c r="P11" s="1"/>
      <c r="Q11" s="1"/>
      <c r="R11" s="1"/>
      <c r="S11" s="1"/>
      <c r="T11" s="1"/>
      <c r="U11" s="1"/>
      <c r="V11" s="1"/>
      <c r="W11" s="1"/>
      <c r="X11" s="1"/>
      <c r="Y11" s="1"/>
      <c r="Z11" s="1"/>
      <c r="AA11" s="1"/>
      <c r="AB11" s="983"/>
      <c r="AC11" s="583"/>
    </row>
    <row r="12" spans="1:29" ht="15.75" customHeight="1" x14ac:dyDescent="0.2">
      <c r="A12" s="419" t="s">
        <v>149</v>
      </c>
      <c r="B12" s="131">
        <v>99.4</v>
      </c>
      <c r="C12" s="124">
        <v>29.4</v>
      </c>
      <c r="D12" s="124">
        <v>97.6</v>
      </c>
      <c r="E12" s="124">
        <v>98.8</v>
      </c>
      <c r="F12" s="124">
        <v>21.7</v>
      </c>
      <c r="G12" s="127">
        <v>94.4</v>
      </c>
      <c r="H12" s="982">
        <v>99.1</v>
      </c>
      <c r="I12" s="124">
        <v>23.9</v>
      </c>
      <c r="J12" s="132">
        <v>96.2</v>
      </c>
      <c r="K12" s="1"/>
      <c r="L12" s="1"/>
      <c r="M12" s="1"/>
      <c r="P12" s="1"/>
      <c r="Q12" s="1"/>
      <c r="R12" s="1"/>
      <c r="S12" s="1"/>
      <c r="T12" s="1"/>
      <c r="U12" s="1"/>
      <c r="V12" s="1"/>
      <c r="W12" s="1"/>
      <c r="X12" s="1"/>
      <c r="Y12" s="1"/>
      <c r="Z12" s="1"/>
      <c r="AA12" s="1"/>
      <c r="AB12" s="983"/>
      <c r="AC12" s="583"/>
    </row>
    <row r="13" spans="1:29" ht="15.75" customHeight="1" x14ac:dyDescent="0.2">
      <c r="A13" s="395" t="s">
        <v>150</v>
      </c>
      <c r="B13" s="179">
        <v>99.2</v>
      </c>
      <c r="C13" s="171">
        <v>22.4</v>
      </c>
      <c r="D13" s="171">
        <v>97.2</v>
      </c>
      <c r="E13" s="171">
        <v>98.7</v>
      </c>
      <c r="F13" s="171">
        <v>27.3</v>
      </c>
      <c r="G13" s="196">
        <v>95.9</v>
      </c>
      <c r="H13" s="984">
        <v>99</v>
      </c>
      <c r="I13" s="171">
        <v>25.4</v>
      </c>
      <c r="J13" s="180">
        <v>96.6</v>
      </c>
      <c r="K13" s="1"/>
      <c r="L13" s="1"/>
      <c r="M13" s="1"/>
      <c r="P13" s="1"/>
      <c r="Q13" s="1"/>
      <c r="R13" s="1"/>
      <c r="S13" s="1"/>
      <c r="T13" s="1"/>
      <c r="U13" s="1"/>
      <c r="V13" s="1"/>
      <c r="W13" s="1"/>
      <c r="X13" s="1"/>
      <c r="Y13" s="1"/>
      <c r="Z13" s="1"/>
      <c r="AA13" s="1"/>
      <c r="AB13" s="983"/>
      <c r="AC13" s="583"/>
    </row>
    <row r="14" spans="1:29" ht="15.75" customHeight="1" x14ac:dyDescent="0.2">
      <c r="A14" s="419" t="s">
        <v>151</v>
      </c>
      <c r="B14" s="131">
        <v>99</v>
      </c>
      <c r="C14" s="124">
        <v>26.9</v>
      </c>
      <c r="D14" s="124">
        <v>96.8</v>
      </c>
      <c r="E14" s="124">
        <v>98.9</v>
      </c>
      <c r="F14" s="124">
        <v>31.5</v>
      </c>
      <c r="G14" s="127">
        <v>97.4</v>
      </c>
      <c r="H14" s="982">
        <v>99</v>
      </c>
      <c r="I14" s="124">
        <v>29</v>
      </c>
      <c r="J14" s="132">
        <v>97.2</v>
      </c>
      <c r="K14" s="1"/>
      <c r="L14" s="1"/>
      <c r="M14" s="1"/>
      <c r="P14" s="1"/>
      <c r="Q14" s="1"/>
      <c r="R14" s="1"/>
      <c r="S14" s="1"/>
      <c r="T14" s="1"/>
      <c r="U14" s="1"/>
      <c r="V14" s="1"/>
      <c r="W14" s="1"/>
      <c r="X14" s="1"/>
      <c r="Y14" s="1"/>
      <c r="Z14" s="1"/>
      <c r="AA14" s="1"/>
      <c r="AB14" s="983"/>
      <c r="AC14" s="583"/>
    </row>
    <row r="15" spans="1:29" ht="15.75" customHeight="1" x14ac:dyDescent="0.2">
      <c r="A15" s="395" t="s">
        <v>153</v>
      </c>
      <c r="B15" s="179">
        <v>99</v>
      </c>
      <c r="C15" s="171">
        <v>20.8</v>
      </c>
      <c r="D15" s="171">
        <v>95.7</v>
      </c>
      <c r="E15" s="171">
        <v>99.2</v>
      </c>
      <c r="F15" s="171">
        <v>20.399999999999999</v>
      </c>
      <c r="G15" s="196">
        <v>96.9</v>
      </c>
      <c r="H15" s="984">
        <v>99.1</v>
      </c>
      <c r="I15" s="171">
        <v>20.7</v>
      </c>
      <c r="J15" s="180">
        <v>96.5</v>
      </c>
      <c r="K15" s="1"/>
      <c r="L15" s="1"/>
      <c r="M15" s="1"/>
      <c r="P15" s="1"/>
      <c r="Q15" s="1"/>
      <c r="R15" s="1"/>
      <c r="S15" s="1"/>
      <c r="T15" s="1"/>
      <c r="U15" s="1"/>
      <c r="V15" s="1"/>
      <c r="W15" s="1"/>
      <c r="X15" s="1"/>
      <c r="Y15" s="1"/>
      <c r="Z15" s="1"/>
      <c r="AA15" s="1"/>
      <c r="AB15" s="983"/>
      <c r="AC15" s="583"/>
    </row>
    <row r="16" spans="1:29" ht="15.75" customHeight="1" x14ac:dyDescent="0.2">
      <c r="A16" s="419" t="s">
        <v>154</v>
      </c>
      <c r="B16" s="131">
        <v>98.6</v>
      </c>
      <c r="C16" s="124">
        <v>24.9</v>
      </c>
      <c r="D16" s="124">
        <v>95.1</v>
      </c>
      <c r="E16" s="124">
        <v>98.8</v>
      </c>
      <c r="F16" s="124">
        <v>20.2</v>
      </c>
      <c r="G16" s="127">
        <v>95.4</v>
      </c>
      <c r="H16" s="982">
        <v>98.8</v>
      </c>
      <c r="I16" s="124">
        <v>22.4</v>
      </c>
      <c r="J16" s="132">
        <v>95.6</v>
      </c>
      <c r="K16" s="1"/>
      <c r="L16" s="1"/>
      <c r="M16" s="1"/>
      <c r="P16" s="1"/>
      <c r="Q16" s="1"/>
      <c r="R16" s="1"/>
      <c r="S16" s="1"/>
      <c r="T16" s="1"/>
      <c r="U16" s="1"/>
      <c r="V16" s="1"/>
      <c r="W16" s="1"/>
      <c r="X16" s="1"/>
      <c r="Y16" s="1"/>
      <c r="Z16" s="1"/>
      <c r="AA16" s="1"/>
      <c r="AB16" s="983"/>
      <c r="AC16" s="583"/>
    </row>
    <row r="17" spans="1:24" ht="15.75" customHeight="1" x14ac:dyDescent="0.2">
      <c r="A17" s="395" t="s">
        <v>155</v>
      </c>
      <c r="B17" s="926">
        <v>98.9</v>
      </c>
      <c r="C17" s="403">
        <v>27.7</v>
      </c>
      <c r="D17" s="403">
        <v>96.6</v>
      </c>
      <c r="E17" s="105">
        <v>98.8</v>
      </c>
      <c r="F17" s="105">
        <v>31.9</v>
      </c>
      <c r="G17" s="109">
        <v>96.5</v>
      </c>
      <c r="H17" s="980">
        <v>98.9</v>
      </c>
      <c r="I17" s="105">
        <v>29.8</v>
      </c>
      <c r="J17" s="142">
        <v>96.7</v>
      </c>
      <c r="T17" s="583"/>
      <c r="U17" s="585"/>
      <c r="V17" s="583"/>
      <c r="W17" s="583"/>
      <c r="X17" s="583"/>
    </row>
    <row r="18" spans="1:24" ht="15.75" customHeight="1" x14ac:dyDescent="0.2">
      <c r="A18" s="419" t="s">
        <v>157</v>
      </c>
      <c r="B18" s="131">
        <v>99.1</v>
      </c>
      <c r="C18" s="124">
        <v>32.799999999999997</v>
      </c>
      <c r="D18" s="124">
        <v>97.6</v>
      </c>
      <c r="E18" s="124">
        <v>99.1</v>
      </c>
      <c r="F18" s="124">
        <v>41</v>
      </c>
      <c r="G18" s="127">
        <v>97.9</v>
      </c>
      <c r="H18" s="982">
        <v>99.1</v>
      </c>
      <c r="I18" s="124">
        <v>36</v>
      </c>
      <c r="J18" s="132">
        <v>97.8</v>
      </c>
    </row>
    <row r="19" spans="1:24" ht="15.75" customHeight="1" x14ac:dyDescent="0.2">
      <c r="A19" s="395" t="s">
        <v>158</v>
      </c>
      <c r="B19" s="141">
        <v>99.5</v>
      </c>
      <c r="C19" s="105">
        <v>33.9</v>
      </c>
      <c r="D19" s="105">
        <v>98.6</v>
      </c>
      <c r="E19" s="105">
        <v>99.6</v>
      </c>
      <c r="F19" s="105">
        <v>25.1</v>
      </c>
      <c r="G19" s="109">
        <v>98.8</v>
      </c>
      <c r="H19" s="980">
        <v>99.5</v>
      </c>
      <c r="I19" s="105">
        <v>30.1</v>
      </c>
      <c r="J19" s="142">
        <v>98.8</v>
      </c>
    </row>
    <row r="20" spans="1:24" ht="15.75" customHeight="1" x14ac:dyDescent="0.2">
      <c r="A20" s="419" t="s">
        <v>159</v>
      </c>
      <c r="B20" s="131">
        <v>99.4</v>
      </c>
      <c r="C20" s="124">
        <v>35.799999999999997</v>
      </c>
      <c r="D20" s="124">
        <v>98.1</v>
      </c>
      <c r="E20" s="124">
        <v>99.6</v>
      </c>
      <c r="F20" s="124">
        <v>37.299999999999997</v>
      </c>
      <c r="G20" s="127">
        <v>98.8</v>
      </c>
      <c r="H20" s="982">
        <v>99.5</v>
      </c>
      <c r="I20" s="124">
        <v>33.200000000000003</v>
      </c>
      <c r="J20" s="132">
        <v>98.4</v>
      </c>
    </row>
    <row r="21" spans="1:24" ht="15.75" customHeight="1" x14ac:dyDescent="0.2">
      <c r="A21" s="395" t="s">
        <v>163</v>
      </c>
      <c r="B21" s="141">
        <v>98.7</v>
      </c>
      <c r="C21" s="105">
        <v>34.6</v>
      </c>
      <c r="D21" s="105">
        <v>96.2</v>
      </c>
      <c r="E21" s="105">
        <v>99</v>
      </c>
      <c r="F21" s="105">
        <v>27.2</v>
      </c>
      <c r="G21" s="109">
        <v>97.1</v>
      </c>
      <c r="H21" s="980">
        <v>98.9</v>
      </c>
      <c r="I21" s="105">
        <v>31.3</v>
      </c>
      <c r="J21" s="142">
        <v>96.8</v>
      </c>
    </row>
    <row r="22" spans="1:24" ht="15.75" customHeight="1" x14ac:dyDescent="0.2">
      <c r="A22" s="419" t="s">
        <v>166</v>
      </c>
      <c r="B22" s="131">
        <v>98.5</v>
      </c>
      <c r="C22" s="124">
        <v>36.4</v>
      </c>
      <c r="D22" s="124">
        <v>95.7</v>
      </c>
      <c r="E22" s="124">
        <v>99.1</v>
      </c>
      <c r="F22" s="124">
        <v>67.8</v>
      </c>
      <c r="G22" s="127">
        <v>98.5</v>
      </c>
      <c r="H22" s="982">
        <v>98.8</v>
      </c>
      <c r="I22" s="124">
        <v>45.5</v>
      </c>
      <c r="J22" s="132">
        <v>97.2</v>
      </c>
    </row>
    <row r="23" spans="1:24" ht="15.75" customHeight="1" x14ac:dyDescent="0.2">
      <c r="A23" s="395" t="s">
        <v>167</v>
      </c>
      <c r="B23" s="141">
        <v>98.6</v>
      </c>
      <c r="C23" s="105">
        <v>35.799999999999997</v>
      </c>
      <c r="D23" s="105">
        <v>96.6</v>
      </c>
      <c r="E23" s="105">
        <v>99</v>
      </c>
      <c r="F23" s="105">
        <v>35.9</v>
      </c>
      <c r="G23" s="109">
        <v>97.8</v>
      </c>
      <c r="H23" s="980">
        <v>98.9</v>
      </c>
      <c r="I23" s="105">
        <v>35.9</v>
      </c>
      <c r="J23" s="142">
        <v>97.3</v>
      </c>
    </row>
    <row r="24" spans="1:24" ht="15.75" customHeight="1" x14ac:dyDescent="0.2">
      <c r="A24" s="419" t="s">
        <v>168</v>
      </c>
      <c r="B24" s="192">
        <v>98.8</v>
      </c>
      <c r="C24" s="162">
        <v>33</v>
      </c>
      <c r="D24" s="162">
        <v>96.6</v>
      </c>
      <c r="E24" s="162">
        <v>99.2</v>
      </c>
      <c r="F24" s="162">
        <v>43</v>
      </c>
      <c r="G24" s="127">
        <v>97.9</v>
      </c>
      <c r="H24" s="982">
        <v>99</v>
      </c>
      <c r="I24" s="124">
        <v>36.700000000000003</v>
      </c>
      <c r="J24" s="132">
        <v>97.3</v>
      </c>
    </row>
    <row r="25" spans="1:24" ht="15.75" customHeight="1" x14ac:dyDescent="0.2">
      <c r="A25" s="395" t="s">
        <v>171</v>
      </c>
      <c r="B25" s="141">
        <v>98.5</v>
      </c>
      <c r="C25" s="105">
        <v>30.36</v>
      </c>
      <c r="D25" s="105">
        <v>96.12</v>
      </c>
      <c r="E25" s="105">
        <v>99.050000000000011</v>
      </c>
      <c r="F25" s="105">
        <v>34.72</v>
      </c>
      <c r="G25" s="109">
        <v>97.61999999999999</v>
      </c>
      <c r="H25" s="980">
        <v>98.86</v>
      </c>
      <c r="I25" s="105">
        <v>31.5</v>
      </c>
      <c r="J25" s="142">
        <v>97.08</v>
      </c>
    </row>
    <row r="26" spans="1:24" ht="15.75" customHeight="1" x14ac:dyDescent="0.2">
      <c r="A26" s="419" t="s">
        <v>172</v>
      </c>
      <c r="B26" s="131">
        <v>99.3</v>
      </c>
      <c r="C26" s="124">
        <v>34.700000000000003</v>
      </c>
      <c r="D26" s="124">
        <v>98</v>
      </c>
      <c r="E26" s="124">
        <v>99.7</v>
      </c>
      <c r="F26" s="124">
        <v>40.4</v>
      </c>
      <c r="G26" s="127">
        <v>99.1</v>
      </c>
      <c r="H26" s="982">
        <v>99.5</v>
      </c>
      <c r="I26" s="124">
        <v>36.299999999999997</v>
      </c>
      <c r="J26" s="132">
        <v>98.7</v>
      </c>
    </row>
    <row r="27" spans="1:24" ht="15.75" customHeight="1" x14ac:dyDescent="0.2">
      <c r="A27" s="395" t="s">
        <v>173</v>
      </c>
      <c r="B27" s="141">
        <v>98.9</v>
      </c>
      <c r="C27" s="105">
        <v>22.6</v>
      </c>
      <c r="D27" s="105">
        <v>96</v>
      </c>
      <c r="E27" s="105">
        <v>99.2</v>
      </c>
      <c r="F27" s="105">
        <v>24.3</v>
      </c>
      <c r="G27" s="109">
        <v>96.9</v>
      </c>
      <c r="H27" s="980">
        <v>99.1</v>
      </c>
      <c r="I27" s="105">
        <v>23.4</v>
      </c>
      <c r="J27" s="142">
        <v>96.7</v>
      </c>
    </row>
    <row r="28" spans="1:24" ht="15.75" customHeight="1" x14ac:dyDescent="0.2">
      <c r="A28" s="419" t="s">
        <v>174</v>
      </c>
      <c r="B28" s="131">
        <v>99.1</v>
      </c>
      <c r="C28" s="124">
        <v>24.7</v>
      </c>
      <c r="D28" s="124">
        <v>96.2</v>
      </c>
      <c r="E28" s="124">
        <v>99.1</v>
      </c>
      <c r="F28" s="124">
        <v>19.899999999999999</v>
      </c>
      <c r="G28" s="127">
        <v>94.7</v>
      </c>
      <c r="H28" s="982">
        <v>99.1</v>
      </c>
      <c r="I28" s="124">
        <v>21.8</v>
      </c>
      <c r="J28" s="132">
        <v>95.7</v>
      </c>
    </row>
    <row r="29" spans="1:24" ht="15.75" customHeight="1" x14ac:dyDescent="0.2">
      <c r="A29" s="395" t="s">
        <v>175</v>
      </c>
      <c r="B29" s="141">
        <v>99.3</v>
      </c>
      <c r="C29" s="105">
        <v>28.9</v>
      </c>
      <c r="D29" s="105">
        <v>97.2</v>
      </c>
      <c r="E29" s="105">
        <v>99.2</v>
      </c>
      <c r="F29" s="105">
        <v>28.7</v>
      </c>
      <c r="G29" s="109">
        <v>97</v>
      </c>
      <c r="H29" s="980">
        <v>99.3</v>
      </c>
      <c r="I29" s="105">
        <v>28.7</v>
      </c>
      <c r="J29" s="142">
        <v>97.3</v>
      </c>
    </row>
    <row r="30" spans="1:24" ht="15.75" customHeight="1" x14ac:dyDescent="0.2">
      <c r="A30" s="419" t="s">
        <v>251</v>
      </c>
      <c r="B30" s="131">
        <v>99.2</v>
      </c>
      <c r="C30" s="124">
        <v>43.8</v>
      </c>
      <c r="D30" s="124">
        <v>97.8</v>
      </c>
      <c r="E30" s="124">
        <v>99.1</v>
      </c>
      <c r="F30" s="124">
        <v>32.1</v>
      </c>
      <c r="G30" s="127">
        <v>96.3</v>
      </c>
      <c r="H30" s="982">
        <v>99.2</v>
      </c>
      <c r="I30" s="124">
        <v>36.6</v>
      </c>
      <c r="J30" s="132">
        <v>97.1</v>
      </c>
    </row>
    <row r="31" spans="1:24" ht="15.75" customHeight="1" x14ac:dyDescent="0.2">
      <c r="A31" s="395" t="s">
        <v>178</v>
      </c>
      <c r="B31" s="141">
        <v>99.1</v>
      </c>
      <c r="C31" s="105">
        <v>39.299999999999997</v>
      </c>
      <c r="D31" s="105">
        <v>97.4</v>
      </c>
      <c r="E31" s="105">
        <v>98.5</v>
      </c>
      <c r="F31" s="105">
        <v>24.2</v>
      </c>
      <c r="G31" s="109">
        <v>94</v>
      </c>
      <c r="H31" s="980">
        <v>98.8</v>
      </c>
      <c r="I31" s="105">
        <v>29</v>
      </c>
      <c r="J31" s="142">
        <v>95.7</v>
      </c>
    </row>
    <row r="32" spans="1:24" ht="15.75" customHeight="1" x14ac:dyDescent="0.2">
      <c r="A32" s="419" t="s">
        <v>179</v>
      </c>
      <c r="B32" s="131">
        <v>99.4</v>
      </c>
      <c r="C32" s="124">
        <v>39</v>
      </c>
      <c r="D32" s="124">
        <v>98.6</v>
      </c>
      <c r="E32" s="124">
        <v>99.3</v>
      </c>
      <c r="F32" s="124">
        <v>37</v>
      </c>
      <c r="G32" s="127">
        <v>98.5</v>
      </c>
      <c r="H32" s="982">
        <v>99.4</v>
      </c>
      <c r="I32" s="124">
        <v>37.9</v>
      </c>
      <c r="J32" s="132">
        <v>98.7</v>
      </c>
    </row>
    <row r="33" spans="1:10" ht="15.75" customHeight="1" x14ac:dyDescent="0.2">
      <c r="A33" s="395" t="s">
        <v>252</v>
      </c>
      <c r="B33" s="179">
        <v>99.3</v>
      </c>
      <c r="C33" s="171">
        <v>33.799999999999997</v>
      </c>
      <c r="D33" s="171">
        <v>97.7</v>
      </c>
      <c r="E33" s="171">
        <v>99.4</v>
      </c>
      <c r="F33" s="171">
        <v>31.5</v>
      </c>
      <c r="G33" s="196">
        <v>97.7</v>
      </c>
      <c r="H33" s="984">
        <v>99.3</v>
      </c>
      <c r="I33" s="171">
        <v>32.700000000000003</v>
      </c>
      <c r="J33" s="180">
        <v>97.8</v>
      </c>
    </row>
    <row r="34" spans="1:10" ht="15.75" customHeight="1" x14ac:dyDescent="0.2">
      <c r="A34" s="419" t="s">
        <v>181</v>
      </c>
      <c r="B34" s="192">
        <v>98.9</v>
      </c>
      <c r="C34" s="162">
        <v>27.4</v>
      </c>
      <c r="D34" s="162">
        <v>95.5</v>
      </c>
      <c r="E34" s="162">
        <v>98.6</v>
      </c>
      <c r="F34" s="162">
        <v>25</v>
      </c>
      <c r="G34" s="200">
        <v>94.1</v>
      </c>
      <c r="H34" s="981">
        <v>98.8</v>
      </c>
      <c r="I34" s="162">
        <v>26.1</v>
      </c>
      <c r="J34" s="164">
        <v>95</v>
      </c>
    </row>
    <row r="35" spans="1:10" ht="15.75" customHeight="1" x14ac:dyDescent="0.2">
      <c r="A35" s="395" t="s">
        <v>182</v>
      </c>
      <c r="B35" s="179">
        <v>98.9</v>
      </c>
      <c r="C35" s="171">
        <v>25</v>
      </c>
      <c r="D35" s="171">
        <v>95.5</v>
      </c>
      <c r="E35" s="171">
        <v>99.3</v>
      </c>
      <c r="F35" s="171">
        <v>30.7</v>
      </c>
      <c r="G35" s="196">
        <v>97.1</v>
      </c>
      <c r="H35" s="984">
        <v>99.2</v>
      </c>
      <c r="I35" s="171">
        <v>27.5</v>
      </c>
      <c r="J35" s="180">
        <v>96.6</v>
      </c>
    </row>
    <row r="36" spans="1:10" ht="15.75" customHeight="1" x14ac:dyDescent="0.2">
      <c r="A36" s="419" t="s">
        <v>183</v>
      </c>
      <c r="B36" s="192">
        <v>99</v>
      </c>
      <c r="C36" s="162">
        <v>27.1</v>
      </c>
      <c r="D36" s="162">
        <v>96.8</v>
      </c>
      <c r="E36" s="162">
        <v>99.6</v>
      </c>
      <c r="F36" s="162">
        <v>30.4</v>
      </c>
      <c r="G36" s="200">
        <v>98.3</v>
      </c>
      <c r="H36" s="981">
        <v>99.3</v>
      </c>
      <c r="I36" s="162">
        <v>28.4</v>
      </c>
      <c r="J36" s="164">
        <v>97.7</v>
      </c>
    </row>
    <row r="37" spans="1:10" ht="15.75" customHeight="1" x14ac:dyDescent="0.2">
      <c r="A37" s="395" t="s">
        <v>184</v>
      </c>
      <c r="B37" s="179">
        <v>99</v>
      </c>
      <c r="C37" s="171">
        <v>31.8</v>
      </c>
      <c r="D37" s="171">
        <v>97.3</v>
      </c>
      <c r="E37" s="171">
        <v>99.4</v>
      </c>
      <c r="F37" s="171">
        <v>26.6</v>
      </c>
      <c r="G37" s="196">
        <v>97.6</v>
      </c>
      <c r="H37" s="984">
        <v>99.2</v>
      </c>
      <c r="I37" s="171">
        <v>29.4</v>
      </c>
      <c r="J37" s="180">
        <v>97.6</v>
      </c>
    </row>
    <row r="38" spans="1:10" ht="15.75" customHeight="1" x14ac:dyDescent="0.2">
      <c r="A38" s="419" t="s">
        <v>185</v>
      </c>
      <c r="B38" s="131">
        <v>99.5</v>
      </c>
      <c r="C38" s="124">
        <v>33.1</v>
      </c>
      <c r="D38" s="124">
        <v>98.8</v>
      </c>
      <c r="E38" s="124">
        <v>99.8</v>
      </c>
      <c r="F38" s="124">
        <v>43.7</v>
      </c>
      <c r="G38" s="127">
        <v>99.5</v>
      </c>
      <c r="H38" s="982">
        <v>99.7</v>
      </c>
      <c r="I38" s="124">
        <v>35.700000000000003</v>
      </c>
      <c r="J38" s="132">
        <v>99.2</v>
      </c>
    </row>
    <row r="39" spans="1:10" ht="15.75" customHeight="1" x14ac:dyDescent="0.2">
      <c r="A39" s="395" t="s">
        <v>186</v>
      </c>
      <c r="B39" s="141">
        <v>99.2</v>
      </c>
      <c r="C39" s="105">
        <v>25.6</v>
      </c>
      <c r="D39" s="105">
        <v>96.4</v>
      </c>
      <c r="E39" s="105">
        <v>98.6</v>
      </c>
      <c r="F39" s="105">
        <v>19.399999999999999</v>
      </c>
      <c r="G39" s="109">
        <v>94.8</v>
      </c>
      <c r="H39" s="980">
        <v>98.9</v>
      </c>
      <c r="I39" s="105">
        <v>21.8</v>
      </c>
      <c r="J39" s="142">
        <v>95.8</v>
      </c>
    </row>
    <row r="40" spans="1:10" ht="15.75" customHeight="1" x14ac:dyDescent="0.2">
      <c r="A40" s="419" t="s">
        <v>187</v>
      </c>
      <c r="B40" s="192">
        <v>99.15</v>
      </c>
      <c r="C40" s="162">
        <v>28.29</v>
      </c>
      <c r="D40" s="162">
        <v>97.17</v>
      </c>
      <c r="E40" s="162">
        <v>99.28</v>
      </c>
      <c r="F40" s="162">
        <v>28.59</v>
      </c>
      <c r="G40" s="200">
        <v>97.52</v>
      </c>
      <c r="H40" s="981">
        <v>99.24</v>
      </c>
      <c r="I40" s="162">
        <v>28.14</v>
      </c>
      <c r="J40" s="164">
        <v>97.39</v>
      </c>
    </row>
    <row r="41" spans="1:10" ht="15.75" customHeight="1" x14ac:dyDescent="0.2">
      <c r="A41" s="395" t="s">
        <v>188</v>
      </c>
      <c r="B41" s="141">
        <v>99.4</v>
      </c>
      <c r="C41" s="105">
        <v>32.700000000000003</v>
      </c>
      <c r="D41" s="105">
        <v>98</v>
      </c>
      <c r="E41" s="105">
        <v>99.6</v>
      </c>
      <c r="F41" s="105">
        <v>36.700000000000003</v>
      </c>
      <c r="G41" s="109">
        <v>98.8</v>
      </c>
      <c r="H41" s="980">
        <v>99.5</v>
      </c>
      <c r="I41" s="105">
        <v>34.1</v>
      </c>
      <c r="J41" s="142">
        <v>98.4</v>
      </c>
    </row>
    <row r="42" spans="1:10" ht="15.75" customHeight="1" x14ac:dyDescent="0.2">
      <c r="A42" s="419" t="s">
        <v>190</v>
      </c>
      <c r="B42" s="131">
        <v>99.6</v>
      </c>
      <c r="C42" s="124">
        <v>51.4</v>
      </c>
      <c r="D42" s="124">
        <v>99.2</v>
      </c>
      <c r="E42" s="124">
        <v>99.9</v>
      </c>
      <c r="F42" s="124">
        <v>51.3</v>
      </c>
      <c r="G42" s="127">
        <v>99.7</v>
      </c>
      <c r="H42" s="982">
        <v>99.7</v>
      </c>
      <c r="I42" s="124">
        <v>52.8</v>
      </c>
      <c r="J42" s="132">
        <v>99.4</v>
      </c>
    </row>
    <row r="43" spans="1:10" ht="15.75" customHeight="1" x14ac:dyDescent="0.2">
      <c r="A43" s="395" t="s">
        <v>191</v>
      </c>
      <c r="B43" s="141">
        <v>99.7</v>
      </c>
      <c r="C43" s="105">
        <v>38.200000000000003</v>
      </c>
      <c r="D43" s="105">
        <v>99</v>
      </c>
      <c r="E43" s="105">
        <v>99.8</v>
      </c>
      <c r="F43" s="105">
        <v>24.6</v>
      </c>
      <c r="G43" s="109">
        <v>99.1</v>
      </c>
      <c r="H43" s="980">
        <v>99.7</v>
      </c>
      <c r="I43" s="105">
        <v>32.6</v>
      </c>
      <c r="J43" s="142">
        <v>99.1</v>
      </c>
    </row>
    <row r="44" spans="1:10" ht="15.75" customHeight="1" x14ac:dyDescent="0.2">
      <c r="A44" s="419" t="s">
        <v>253</v>
      </c>
      <c r="B44" s="131">
        <v>99.2</v>
      </c>
      <c r="C44" s="124">
        <v>31.4</v>
      </c>
      <c r="D44" s="124">
        <v>97.8</v>
      </c>
      <c r="E44" s="124">
        <v>99.4</v>
      </c>
      <c r="F44" s="124">
        <v>28.1</v>
      </c>
      <c r="G44" s="127">
        <v>97.8</v>
      </c>
      <c r="H44" s="982">
        <v>99.3</v>
      </c>
      <c r="I44" s="124">
        <v>29.4</v>
      </c>
      <c r="J44" s="132">
        <v>97.9</v>
      </c>
    </row>
    <row r="45" spans="1:10" ht="15.75" customHeight="1" x14ac:dyDescent="0.2">
      <c r="A45" s="395" t="s">
        <v>193</v>
      </c>
      <c r="B45" s="141">
        <v>98.6</v>
      </c>
      <c r="C45" s="105">
        <v>62.7</v>
      </c>
      <c r="D45" s="105">
        <v>97.8</v>
      </c>
      <c r="E45" s="105">
        <v>99</v>
      </c>
      <c r="F45" s="105">
        <v>22.8</v>
      </c>
      <c r="G45" s="109">
        <v>96.2</v>
      </c>
      <c r="H45" s="980">
        <v>98.9</v>
      </c>
      <c r="I45" s="105">
        <v>36.1</v>
      </c>
      <c r="J45" s="142">
        <v>97</v>
      </c>
    </row>
    <row r="46" spans="1:10" ht="15.75" customHeight="1" x14ac:dyDescent="0.2">
      <c r="A46" s="419" t="s">
        <v>194</v>
      </c>
      <c r="B46" s="192">
        <v>99.1</v>
      </c>
      <c r="C46" s="162">
        <v>48.9</v>
      </c>
      <c r="D46" s="162">
        <v>98.4</v>
      </c>
      <c r="E46" s="162">
        <v>99.4</v>
      </c>
      <c r="F46" s="162">
        <v>50.5</v>
      </c>
      <c r="G46" s="200">
        <v>99</v>
      </c>
      <c r="H46" s="981">
        <v>99.3</v>
      </c>
      <c r="I46" s="162">
        <v>48.2</v>
      </c>
      <c r="J46" s="164">
        <v>98.7</v>
      </c>
    </row>
    <row r="47" spans="1:10" ht="15.75" customHeight="1" x14ac:dyDescent="0.2">
      <c r="A47" s="395" t="s">
        <v>195</v>
      </c>
      <c r="B47" s="141">
        <v>99</v>
      </c>
      <c r="C47" s="105">
        <v>30.2</v>
      </c>
      <c r="D47" s="105">
        <v>96.9</v>
      </c>
      <c r="E47" s="105">
        <v>99.3</v>
      </c>
      <c r="F47" s="105">
        <v>26.7</v>
      </c>
      <c r="G47" s="109">
        <v>96.8</v>
      </c>
      <c r="H47" s="980">
        <v>99.2</v>
      </c>
      <c r="I47" s="105">
        <v>28.2</v>
      </c>
      <c r="J47" s="142">
        <v>97.1</v>
      </c>
    </row>
    <row r="48" spans="1:10" ht="15.75" customHeight="1" x14ac:dyDescent="0.2">
      <c r="A48" s="419" t="s">
        <v>196</v>
      </c>
      <c r="B48" s="192">
        <v>98.6</v>
      </c>
      <c r="C48" s="162">
        <v>31.7</v>
      </c>
      <c r="D48" s="162">
        <v>95.5</v>
      </c>
      <c r="E48" s="162">
        <v>99.2</v>
      </c>
      <c r="F48" s="162">
        <v>34</v>
      </c>
      <c r="G48" s="200">
        <v>97.5</v>
      </c>
      <c r="H48" s="981">
        <v>99</v>
      </c>
      <c r="I48" s="162">
        <v>32.700000000000003</v>
      </c>
      <c r="J48" s="164">
        <v>96.8</v>
      </c>
    </row>
    <row r="49" spans="1:10" ht="15.75" customHeight="1" x14ac:dyDescent="0.2">
      <c r="A49" s="395" t="s">
        <v>197</v>
      </c>
      <c r="B49" s="141">
        <v>99.2</v>
      </c>
      <c r="C49" s="105">
        <v>25.3</v>
      </c>
      <c r="D49" s="105">
        <v>97</v>
      </c>
      <c r="E49" s="105">
        <v>99.3</v>
      </c>
      <c r="F49" s="105">
        <v>23.2</v>
      </c>
      <c r="G49" s="109">
        <v>96.4</v>
      </c>
      <c r="H49" s="980">
        <v>99.3</v>
      </c>
      <c r="I49" s="105">
        <v>24</v>
      </c>
      <c r="J49" s="142">
        <v>96.8</v>
      </c>
    </row>
    <row r="50" spans="1:10" ht="15.75" customHeight="1" x14ac:dyDescent="0.2">
      <c r="A50" s="419" t="s">
        <v>198</v>
      </c>
      <c r="B50" s="131">
        <v>99.3</v>
      </c>
      <c r="C50" s="124">
        <v>43.8</v>
      </c>
      <c r="D50" s="124">
        <v>98.5</v>
      </c>
      <c r="E50" s="124">
        <v>99.5</v>
      </c>
      <c r="F50" s="124">
        <v>15.5</v>
      </c>
      <c r="G50" s="127">
        <v>97.1</v>
      </c>
      <c r="H50" s="982">
        <v>99.4</v>
      </c>
      <c r="I50" s="124">
        <v>19.600000000000001</v>
      </c>
      <c r="J50" s="132">
        <v>97.2</v>
      </c>
    </row>
    <row r="51" spans="1:10" ht="15.75" customHeight="1" x14ac:dyDescent="0.2">
      <c r="A51" s="395" t="s">
        <v>200</v>
      </c>
      <c r="B51" s="141">
        <v>99.3</v>
      </c>
      <c r="C51" s="105">
        <v>25.6</v>
      </c>
      <c r="D51" s="105">
        <v>97.6</v>
      </c>
      <c r="E51" s="105">
        <v>99.2</v>
      </c>
      <c r="F51" s="105">
        <v>24.3</v>
      </c>
      <c r="G51" s="109">
        <v>96.9</v>
      </c>
      <c r="H51" s="980">
        <v>99.2</v>
      </c>
      <c r="I51" s="105">
        <v>24.9</v>
      </c>
      <c r="J51" s="142">
        <v>97.3</v>
      </c>
    </row>
    <row r="52" spans="1:10" ht="15.75" customHeight="1" x14ac:dyDescent="0.2">
      <c r="A52" s="419" t="s">
        <v>201</v>
      </c>
      <c r="B52" s="131">
        <v>99.3</v>
      </c>
      <c r="C52" s="124">
        <v>30.5</v>
      </c>
      <c r="D52" s="124">
        <v>97.8</v>
      </c>
      <c r="E52" s="124">
        <v>99.3</v>
      </c>
      <c r="F52" s="124">
        <v>25.9</v>
      </c>
      <c r="G52" s="127">
        <v>97.5</v>
      </c>
      <c r="H52" s="982">
        <v>99.3</v>
      </c>
      <c r="I52" s="124">
        <v>28.3</v>
      </c>
      <c r="J52" s="132">
        <v>97.8</v>
      </c>
    </row>
    <row r="53" spans="1:10" ht="15.75" customHeight="1" x14ac:dyDescent="0.2">
      <c r="A53" s="395" t="s">
        <v>202</v>
      </c>
      <c r="B53" s="141">
        <v>99.2</v>
      </c>
      <c r="C53" s="105">
        <v>27.3</v>
      </c>
      <c r="D53" s="105">
        <v>97.2</v>
      </c>
      <c r="E53" s="105">
        <v>99.1</v>
      </c>
      <c r="F53" s="105">
        <v>25.1</v>
      </c>
      <c r="G53" s="109">
        <v>97.1</v>
      </c>
      <c r="H53" s="980">
        <v>99.2</v>
      </c>
      <c r="I53" s="105">
        <v>26.1</v>
      </c>
      <c r="J53" s="142">
        <v>97.3</v>
      </c>
    </row>
    <row r="54" spans="1:10" ht="15.75" customHeight="1" x14ac:dyDescent="0.2">
      <c r="A54" s="419" t="s">
        <v>203</v>
      </c>
      <c r="B54" s="192">
        <v>99.5</v>
      </c>
      <c r="C54" s="162">
        <v>41.2</v>
      </c>
      <c r="D54" s="162">
        <v>98.7</v>
      </c>
      <c r="E54" s="162">
        <v>99.4</v>
      </c>
      <c r="F54" s="162">
        <v>24.9</v>
      </c>
      <c r="G54" s="200">
        <v>97.8</v>
      </c>
      <c r="H54" s="981">
        <v>99.5</v>
      </c>
      <c r="I54" s="162">
        <v>31</v>
      </c>
      <c r="J54" s="164">
        <v>98.3</v>
      </c>
    </row>
    <row r="55" spans="1:10" ht="15.75" customHeight="1" x14ac:dyDescent="0.2">
      <c r="A55" s="395" t="s">
        <v>204</v>
      </c>
      <c r="B55" s="141">
        <v>99.4</v>
      </c>
      <c r="C55" s="105">
        <v>38</v>
      </c>
      <c r="D55" s="105">
        <v>98.1</v>
      </c>
      <c r="E55" s="105">
        <v>99.6</v>
      </c>
      <c r="F55" s="105">
        <v>27.3</v>
      </c>
      <c r="G55" s="109">
        <v>98.8</v>
      </c>
      <c r="H55" s="980">
        <v>99.5</v>
      </c>
      <c r="I55" s="105">
        <v>33.200000000000003</v>
      </c>
      <c r="J55" s="142">
        <v>98.6</v>
      </c>
    </row>
    <row r="56" spans="1:10" ht="15.75" customHeight="1" x14ac:dyDescent="0.2">
      <c r="A56" s="419" t="s">
        <v>254</v>
      </c>
      <c r="B56" s="131">
        <v>99.8</v>
      </c>
      <c r="C56" s="124">
        <v>39.5</v>
      </c>
      <c r="D56" s="124">
        <v>99</v>
      </c>
      <c r="E56" s="124">
        <v>99.7</v>
      </c>
      <c r="F56" s="124">
        <v>25.4</v>
      </c>
      <c r="G56" s="127">
        <v>98.8</v>
      </c>
      <c r="H56" s="982">
        <v>99.8</v>
      </c>
      <c r="I56" s="124">
        <v>32.4</v>
      </c>
      <c r="J56" s="132">
        <v>98.9</v>
      </c>
    </row>
    <row r="57" spans="1:10" ht="15.75" customHeight="1" x14ac:dyDescent="0.2">
      <c r="A57" s="395" t="s">
        <v>207</v>
      </c>
      <c r="B57" s="141">
        <v>99</v>
      </c>
      <c r="C57" s="105">
        <v>28.3</v>
      </c>
      <c r="D57" s="105">
        <v>97</v>
      </c>
      <c r="E57" s="105">
        <v>99.5</v>
      </c>
      <c r="F57" s="105">
        <v>23.7</v>
      </c>
      <c r="G57" s="109">
        <v>98.1</v>
      </c>
      <c r="H57" s="980">
        <v>99.3</v>
      </c>
      <c r="I57" s="105">
        <v>26.4</v>
      </c>
      <c r="J57" s="142">
        <v>97.8</v>
      </c>
    </row>
    <row r="58" spans="1:10" ht="15.75" customHeight="1" x14ac:dyDescent="0.2">
      <c r="A58" s="419" t="s">
        <v>209</v>
      </c>
      <c r="B58" s="131">
        <v>99.2</v>
      </c>
      <c r="C58" s="124">
        <v>25.6</v>
      </c>
      <c r="D58" s="124">
        <v>97.5</v>
      </c>
      <c r="E58" s="124">
        <v>99.2</v>
      </c>
      <c r="F58" s="124">
        <v>24.5</v>
      </c>
      <c r="G58" s="127">
        <v>97.7</v>
      </c>
      <c r="H58" s="982">
        <v>99.2</v>
      </c>
      <c r="I58" s="124">
        <v>24.8</v>
      </c>
      <c r="J58" s="132">
        <v>97.6</v>
      </c>
    </row>
    <row r="59" spans="1:10" ht="15.75" customHeight="1" x14ac:dyDescent="0.2">
      <c r="A59" s="395" t="s">
        <v>210</v>
      </c>
      <c r="B59" s="110">
        <v>99.3</v>
      </c>
      <c r="C59" s="105">
        <v>29.9</v>
      </c>
      <c r="D59" s="105">
        <v>97.7</v>
      </c>
      <c r="E59" s="105">
        <v>99.1</v>
      </c>
      <c r="F59" s="105">
        <v>22.7</v>
      </c>
      <c r="G59" s="109">
        <v>96.4</v>
      </c>
      <c r="H59" s="980">
        <v>99.2</v>
      </c>
      <c r="I59" s="105">
        <v>26.4</v>
      </c>
      <c r="J59" s="435">
        <v>97.3</v>
      </c>
    </row>
    <row r="60" spans="1:10" ht="15.75" customHeight="1" x14ac:dyDescent="0.2">
      <c r="A60" s="419" t="s">
        <v>212</v>
      </c>
      <c r="B60" s="131">
        <v>99.4</v>
      </c>
      <c r="C60" s="124">
        <v>34</v>
      </c>
      <c r="D60" s="124">
        <v>98.3</v>
      </c>
      <c r="E60" s="124">
        <v>99.5</v>
      </c>
      <c r="F60" s="124">
        <v>27.2</v>
      </c>
      <c r="G60" s="127">
        <v>98.4</v>
      </c>
      <c r="H60" s="982">
        <v>99.5</v>
      </c>
      <c r="I60" s="124">
        <v>31.2</v>
      </c>
      <c r="J60" s="132">
        <v>98.4</v>
      </c>
    </row>
    <row r="61" spans="1:10" ht="15.75" customHeight="1" x14ac:dyDescent="0.2">
      <c r="A61" s="395" t="s">
        <v>213</v>
      </c>
      <c r="B61" s="110">
        <v>99.5</v>
      </c>
      <c r="C61" s="105">
        <v>32.9</v>
      </c>
      <c r="D61" s="105">
        <v>98.2</v>
      </c>
      <c r="E61" s="105">
        <v>99.4</v>
      </c>
      <c r="F61" s="105">
        <v>17.5</v>
      </c>
      <c r="G61" s="109">
        <v>96.9</v>
      </c>
      <c r="H61" s="980">
        <v>99.5</v>
      </c>
      <c r="I61" s="141">
        <v>24.3</v>
      </c>
      <c r="J61" s="435">
        <v>97.7</v>
      </c>
    </row>
    <row r="62" spans="1:10" ht="15.75" customHeight="1" x14ac:dyDescent="0.2">
      <c r="A62" s="419" t="s">
        <v>215</v>
      </c>
      <c r="B62" s="131">
        <v>99.1</v>
      </c>
      <c r="C62" s="124">
        <v>35.799999999999997</v>
      </c>
      <c r="D62" s="124">
        <v>97.7</v>
      </c>
      <c r="E62" s="124">
        <v>99.2</v>
      </c>
      <c r="F62" s="124">
        <v>25.8</v>
      </c>
      <c r="G62" s="127">
        <v>97</v>
      </c>
      <c r="H62" s="982">
        <v>99.1</v>
      </c>
      <c r="I62" s="124">
        <v>30.2</v>
      </c>
      <c r="J62" s="132">
        <v>97.5</v>
      </c>
    </row>
    <row r="63" spans="1:10" ht="15.75" customHeight="1" x14ac:dyDescent="0.2">
      <c r="A63" s="395" t="s">
        <v>216</v>
      </c>
      <c r="B63" s="110">
        <v>99.1</v>
      </c>
      <c r="C63" s="105">
        <v>36.700000000000003</v>
      </c>
      <c r="D63" s="105">
        <v>97.9</v>
      </c>
      <c r="E63" s="105">
        <v>99</v>
      </c>
      <c r="F63" s="105">
        <v>26.8</v>
      </c>
      <c r="G63" s="109">
        <v>96.8</v>
      </c>
      <c r="H63" s="980">
        <v>99.1</v>
      </c>
      <c r="I63" s="105">
        <v>31.4</v>
      </c>
      <c r="J63" s="435">
        <v>97.5</v>
      </c>
    </row>
    <row r="64" spans="1:10" ht="15.75" customHeight="1" x14ac:dyDescent="0.2">
      <c r="A64" s="419" t="s">
        <v>217</v>
      </c>
      <c r="B64" s="131">
        <v>99.3</v>
      </c>
      <c r="C64" s="124">
        <v>27.9</v>
      </c>
      <c r="D64" s="124">
        <v>97.3</v>
      </c>
      <c r="E64" s="124">
        <v>99.3</v>
      </c>
      <c r="F64" s="124">
        <v>21.4</v>
      </c>
      <c r="G64" s="127">
        <v>97</v>
      </c>
      <c r="H64" s="982">
        <v>99.3</v>
      </c>
      <c r="I64" s="124">
        <v>24.7</v>
      </c>
      <c r="J64" s="132">
        <v>97.3</v>
      </c>
    </row>
    <row r="65" spans="1:10" ht="15.75" customHeight="1" x14ac:dyDescent="0.2">
      <c r="A65" s="395" t="s">
        <v>219</v>
      </c>
      <c r="B65" s="110">
        <v>99.6</v>
      </c>
      <c r="C65" s="105">
        <v>38.9</v>
      </c>
      <c r="D65" s="105">
        <v>99.2</v>
      </c>
      <c r="E65" s="105">
        <v>99.9</v>
      </c>
      <c r="F65" s="105">
        <v>18.7</v>
      </c>
      <c r="G65" s="109">
        <v>99.5</v>
      </c>
      <c r="H65" s="980">
        <v>99.8</v>
      </c>
      <c r="I65" s="105">
        <v>28.5</v>
      </c>
      <c r="J65" s="435">
        <v>99.3</v>
      </c>
    </row>
    <row r="66" spans="1:10" ht="15.75" customHeight="1" x14ac:dyDescent="0.2">
      <c r="A66" s="419" t="s">
        <v>220</v>
      </c>
      <c r="B66" s="131">
        <v>99.2</v>
      </c>
      <c r="C66" s="124">
        <v>33.200000000000003</v>
      </c>
      <c r="D66" s="124">
        <v>98</v>
      </c>
      <c r="E66" s="124">
        <v>99.4</v>
      </c>
      <c r="F66" s="124">
        <v>32.200000000000003</v>
      </c>
      <c r="G66" s="127">
        <v>98.4</v>
      </c>
      <c r="H66" s="982">
        <v>99.4</v>
      </c>
      <c r="I66" s="124">
        <v>32.1</v>
      </c>
      <c r="J66" s="132">
        <v>98.3</v>
      </c>
    </row>
    <row r="67" spans="1:10" ht="15.75" customHeight="1" x14ac:dyDescent="0.2">
      <c r="A67" s="395" t="s">
        <v>221</v>
      </c>
      <c r="B67" s="110">
        <v>99.3</v>
      </c>
      <c r="C67" s="105">
        <v>30.38</v>
      </c>
      <c r="D67" s="105">
        <v>97.7</v>
      </c>
      <c r="E67" s="105">
        <v>99.4</v>
      </c>
      <c r="F67" s="105">
        <v>26.7</v>
      </c>
      <c r="G67" s="109">
        <v>96.8</v>
      </c>
      <c r="H67" s="980">
        <v>99.4</v>
      </c>
      <c r="I67" s="141">
        <v>27.9</v>
      </c>
      <c r="J67" s="435">
        <v>97.36</v>
      </c>
    </row>
    <row r="68" spans="1:10" ht="15.75" customHeight="1" thickBot="1" x14ac:dyDescent="0.25">
      <c r="A68" s="766" t="s">
        <v>223</v>
      </c>
      <c r="B68" s="1291">
        <v>99.3</v>
      </c>
      <c r="C68" s="1213">
        <v>33.299999999999997</v>
      </c>
      <c r="D68" s="1213">
        <v>97.9</v>
      </c>
      <c r="E68" s="1213">
        <v>99.3</v>
      </c>
      <c r="F68" s="1213">
        <v>47.9</v>
      </c>
      <c r="G68" s="1292">
        <v>98.4</v>
      </c>
      <c r="H68" s="1293">
        <v>99.4</v>
      </c>
      <c r="I68" s="1213">
        <v>39.299999999999997</v>
      </c>
      <c r="J68" s="1294">
        <v>98.3</v>
      </c>
    </row>
    <row r="69" spans="1:10" ht="15.75" customHeight="1" thickTop="1" x14ac:dyDescent="0.2">
      <c r="A69" s="395" t="s">
        <v>224</v>
      </c>
      <c r="B69" s="179" t="s">
        <v>139</v>
      </c>
      <c r="C69" s="171" t="s">
        <v>139</v>
      </c>
      <c r="D69" s="171" t="s">
        <v>139</v>
      </c>
      <c r="E69" s="171" t="s">
        <v>139</v>
      </c>
      <c r="F69" s="171" t="s">
        <v>139</v>
      </c>
      <c r="G69" s="196" t="s">
        <v>139</v>
      </c>
      <c r="H69" s="984" t="s">
        <v>139</v>
      </c>
      <c r="I69" s="171" t="s">
        <v>139</v>
      </c>
      <c r="J69" s="255" t="s">
        <v>139</v>
      </c>
    </row>
    <row r="70" spans="1:10" ht="15.75" customHeight="1" thickBot="1" x14ac:dyDescent="0.25">
      <c r="A70" s="766" t="s">
        <v>225</v>
      </c>
      <c r="B70" s="985">
        <f>AVERAGE(B7:B68)</f>
        <v>99.145967741935507</v>
      </c>
      <c r="C70" s="264">
        <f t="shared" ref="C70:J70" si="0">AVERAGE(C7:C68)</f>
        <v>32.527903225806462</v>
      </c>
      <c r="D70" s="264">
        <f t="shared" si="0"/>
        <v>97.346612903225804</v>
      </c>
      <c r="E70" s="264">
        <f t="shared" si="0"/>
        <v>99.227903225806457</v>
      </c>
      <c r="F70" s="264">
        <f t="shared" si="0"/>
        <v>28.816290322580652</v>
      </c>
      <c r="G70" s="986">
        <f t="shared" si="0"/>
        <v>97.202258064516116</v>
      </c>
      <c r="H70" s="987">
        <f t="shared" si="0"/>
        <v>99.217741935483872</v>
      </c>
      <c r="I70" s="264">
        <f t="shared" si="0"/>
        <v>29.852258064516132</v>
      </c>
      <c r="J70" s="270">
        <f t="shared" si="0"/>
        <v>97.390806451612917</v>
      </c>
    </row>
    <row r="71" spans="1:10" ht="13.8" thickTop="1" x14ac:dyDescent="0.2">
      <c r="A71" s="287" t="s">
        <v>255</v>
      </c>
    </row>
    <row r="133" spans="2:10" ht="27" customHeight="1" x14ac:dyDescent="0.2">
      <c r="B133" s="1575"/>
      <c r="C133" s="1575"/>
      <c r="D133" s="1575"/>
      <c r="E133" s="1575"/>
      <c r="F133" s="1575"/>
      <c r="G133" s="1575"/>
      <c r="H133" s="1575"/>
      <c r="I133" s="1575"/>
      <c r="J133" s="1575"/>
    </row>
  </sheetData>
  <autoFilter ref="A6:AC6" xr:uid="{A96D2C45-C231-41EB-A555-067C2151B7E3}"/>
  <mergeCells count="13">
    <mergeCell ref="I4:I5"/>
    <mergeCell ref="J4:J5"/>
    <mergeCell ref="B133:J133"/>
    <mergeCell ref="B3:D3"/>
    <mergeCell ref="E3:G3"/>
    <mergeCell ref="H3:J3"/>
    <mergeCell ref="B4:B5"/>
    <mergeCell ref="C4:C5"/>
    <mergeCell ref="D4:D5"/>
    <mergeCell ref="E4:E5"/>
    <mergeCell ref="F4:F5"/>
    <mergeCell ref="G4:G5"/>
    <mergeCell ref="H4:H5"/>
  </mergeCells>
  <phoneticPr fontId="2"/>
  <dataValidations count="1">
    <dataValidation imeMode="disabled" allowBlank="1" showInputMessage="1" showErrorMessage="1" sqref="B7:J68" xr:uid="{0A073C51-A3CE-4FF3-BE79-E43445843FA2}"/>
  </dataValidations>
  <pageMargins left="0.74803149606299213" right="0.23622047244094491" top="1.1417322834645669" bottom="0.39370078740157483" header="0.59055118110236227" footer="0.31496062992125984"/>
  <pageSetup paperSize="9" scale="71" firstPageNumber="12" orientation="portrait" r:id="rId1"/>
  <headerFooter alignWithMargins="0">
    <oddHeader xml:space="preserve">&amp;L&amp;"ＭＳ Ｐゴシック,太字"&amp;16ⅴ　市税徴収率
（令和元年度）&amp;"ＭＳ Ｐゴシック,標準"&amp;11
</oddHeader>
  </headerFooter>
  <rowBreaks count="1" manualBreakCount="1">
    <brk id="71" max="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7EB05-7BF5-48F5-8660-B5B65CD2FFA7}">
  <sheetPr>
    <tabColor theme="0"/>
  </sheetPr>
  <dimension ref="A1:AI93"/>
  <sheetViews>
    <sheetView view="pageBreakPreview" zoomScale="90" zoomScaleNormal="100" zoomScaleSheetLayoutView="90" workbookViewId="0">
      <selection activeCell="H61" sqref="H61"/>
    </sheetView>
  </sheetViews>
  <sheetFormatPr defaultColWidth="8.88671875" defaultRowHeight="13.2" x14ac:dyDescent="0.2"/>
  <cols>
    <col min="1" max="1" width="20.77734375" style="336" customWidth="1"/>
    <col min="2" max="2" width="11.21875" customWidth="1"/>
    <col min="3" max="3" width="62.44140625" customWidth="1"/>
    <col min="4" max="4" width="8.77734375" style="358" customWidth="1"/>
    <col min="28" max="28" width="9.77734375" customWidth="1"/>
  </cols>
  <sheetData>
    <row r="1" spans="1:35" s="358" customFormat="1" ht="20.25" customHeight="1" thickTop="1" thickBot="1" x14ac:dyDescent="0.25">
      <c r="A1" s="1792" t="s">
        <v>728</v>
      </c>
      <c r="B1" s="1793"/>
      <c r="C1" s="1793"/>
      <c r="D1" s="1794"/>
      <c r="E1" s="988"/>
    </row>
    <row r="2" spans="1:35" ht="9" customHeight="1" thickTop="1" x14ac:dyDescent="0.2">
      <c r="C2" s="340"/>
      <c r="D2" s="989"/>
    </row>
    <row r="3" spans="1:35" ht="18" customHeight="1" x14ac:dyDescent="0.2">
      <c r="A3" s="990" t="s">
        <v>729</v>
      </c>
      <c r="B3" s="991" t="s">
        <v>730</v>
      </c>
      <c r="C3" s="991" t="s">
        <v>731</v>
      </c>
      <c r="D3" s="991" t="s">
        <v>732</v>
      </c>
    </row>
    <row r="4" spans="1:35" ht="19.5" customHeight="1" x14ac:dyDescent="0.2">
      <c r="A4" s="992">
        <v>37655</v>
      </c>
      <c r="B4" s="993" t="s">
        <v>207</v>
      </c>
      <c r="C4" s="994" t="s">
        <v>733</v>
      </c>
      <c r="D4" s="993" t="s">
        <v>734</v>
      </c>
      <c r="E4" s="603"/>
    </row>
    <row r="5" spans="1:35" ht="19.5" customHeight="1" x14ac:dyDescent="0.2">
      <c r="A5" s="992">
        <v>37712</v>
      </c>
      <c r="B5" s="993" t="s">
        <v>206</v>
      </c>
      <c r="C5" s="994" t="s">
        <v>735</v>
      </c>
      <c r="D5" s="993" t="s">
        <v>736</v>
      </c>
      <c r="E5" s="603"/>
    </row>
    <row r="6" spans="1:35" ht="19.5" customHeight="1" x14ac:dyDescent="0.2">
      <c r="A6" s="992">
        <v>38078</v>
      </c>
      <c r="B6" s="993" t="s">
        <v>206</v>
      </c>
      <c r="C6" s="994" t="s">
        <v>737</v>
      </c>
      <c r="D6" s="993" t="s">
        <v>736</v>
      </c>
      <c r="E6" s="603"/>
    </row>
    <row r="7" spans="1:35" ht="19.5" customHeight="1" x14ac:dyDescent="0.2">
      <c r="A7" s="1789">
        <v>38292</v>
      </c>
      <c r="B7" s="993" t="s">
        <v>738</v>
      </c>
      <c r="C7" s="994" t="s">
        <v>739</v>
      </c>
      <c r="D7" s="993" t="s">
        <v>734</v>
      </c>
      <c r="E7" s="603"/>
    </row>
    <row r="8" spans="1:35" ht="19.5" customHeight="1" x14ac:dyDescent="0.2">
      <c r="A8" s="1795"/>
      <c r="B8" s="993" t="s">
        <v>221</v>
      </c>
      <c r="C8" s="994" t="s">
        <v>740</v>
      </c>
      <c r="D8" s="993" t="s">
        <v>734</v>
      </c>
      <c r="E8" s="603"/>
    </row>
    <row r="9" spans="1:35" ht="19.5" customHeight="1" x14ac:dyDescent="0.2">
      <c r="A9" s="992">
        <v>38322</v>
      </c>
      <c r="B9" s="993" t="s">
        <v>142</v>
      </c>
      <c r="C9" s="994" t="s">
        <v>741</v>
      </c>
      <c r="D9" s="993" t="s">
        <v>734</v>
      </c>
      <c r="E9" s="603"/>
    </row>
    <row r="10" spans="1:35" ht="19.5" customHeight="1" x14ac:dyDescent="0.2">
      <c r="A10" s="995">
        <v>38326</v>
      </c>
      <c r="B10" s="993" t="s">
        <v>742</v>
      </c>
      <c r="C10" s="994" t="s">
        <v>743</v>
      </c>
      <c r="D10" s="993" t="s">
        <v>736</v>
      </c>
      <c r="E10" s="603"/>
      <c r="AH10" s="583"/>
      <c r="AI10" s="583"/>
    </row>
    <row r="11" spans="1:35" ht="19.5" customHeight="1" x14ac:dyDescent="0.2">
      <c r="A11" s="1789">
        <v>38353</v>
      </c>
      <c r="B11" s="993" t="s">
        <v>179</v>
      </c>
      <c r="C11" s="994" t="s">
        <v>744</v>
      </c>
      <c r="D11" s="993" t="s">
        <v>734</v>
      </c>
      <c r="E11" s="603"/>
      <c r="AH11" s="583"/>
      <c r="AI11" s="583"/>
    </row>
    <row r="12" spans="1:35" ht="19.5" customHeight="1" x14ac:dyDescent="0.2">
      <c r="A12" s="1790"/>
      <c r="B12" s="993" t="s">
        <v>212</v>
      </c>
      <c r="C12" s="994" t="s">
        <v>745</v>
      </c>
      <c r="D12" s="993" t="s">
        <v>734</v>
      </c>
      <c r="E12" s="996"/>
      <c r="F12" s="1"/>
      <c r="G12" s="1"/>
      <c r="H12" s="1"/>
      <c r="I12" s="1"/>
      <c r="J12" s="1"/>
      <c r="K12" s="1"/>
      <c r="L12" s="1"/>
      <c r="M12" s="1"/>
      <c r="N12" s="1"/>
      <c r="O12" s="1"/>
      <c r="P12" s="1"/>
      <c r="R12" s="1"/>
      <c r="S12" s="1"/>
      <c r="V12" s="1"/>
      <c r="W12" s="1"/>
      <c r="X12" s="1"/>
      <c r="Y12" s="1"/>
      <c r="Z12" s="1"/>
      <c r="AA12" s="1"/>
      <c r="AB12" s="1"/>
      <c r="AC12" s="1"/>
      <c r="AD12" s="1"/>
      <c r="AE12" s="1"/>
      <c r="AF12" s="1"/>
      <c r="AG12" s="1"/>
      <c r="AH12" s="983"/>
      <c r="AI12" s="583"/>
    </row>
    <row r="13" spans="1:35" ht="19.5" customHeight="1" x14ac:dyDescent="0.2">
      <c r="A13" s="1790"/>
      <c r="B13" s="993" t="s">
        <v>213</v>
      </c>
      <c r="C13" s="994" t="s">
        <v>746</v>
      </c>
      <c r="D13" s="993" t="s">
        <v>734</v>
      </c>
      <c r="E13" s="603"/>
      <c r="Z13" s="583"/>
      <c r="AA13" s="583"/>
      <c r="AC13" s="583"/>
      <c r="AD13" s="583"/>
      <c r="AE13" s="583"/>
    </row>
    <row r="14" spans="1:35" ht="19.5" customHeight="1" x14ac:dyDescent="0.2">
      <c r="A14" s="1791"/>
      <c r="B14" s="993" t="s">
        <v>219</v>
      </c>
      <c r="C14" s="994" t="s">
        <v>747</v>
      </c>
      <c r="D14" s="993" t="s">
        <v>734</v>
      </c>
      <c r="E14" s="603"/>
    </row>
    <row r="15" spans="1:35" ht="19.5" customHeight="1" x14ac:dyDescent="0.2">
      <c r="A15" s="992">
        <v>38356</v>
      </c>
      <c r="B15" s="993" t="s">
        <v>216</v>
      </c>
      <c r="C15" s="994" t="s">
        <v>748</v>
      </c>
      <c r="D15" s="993" t="s">
        <v>734</v>
      </c>
      <c r="E15" s="603"/>
    </row>
    <row r="16" spans="1:35" ht="19.5" customHeight="1" x14ac:dyDescent="0.2">
      <c r="A16" s="992">
        <v>38363</v>
      </c>
      <c r="B16" s="993" t="s">
        <v>149</v>
      </c>
      <c r="C16" s="994" t="s">
        <v>749</v>
      </c>
      <c r="D16" s="993" t="s">
        <v>734</v>
      </c>
      <c r="E16" s="603"/>
      <c r="G16" s="726"/>
    </row>
    <row r="17" spans="1:5" ht="19.5" customHeight="1" x14ac:dyDescent="0.2">
      <c r="A17" s="995">
        <v>38384</v>
      </c>
      <c r="B17" s="993" t="s">
        <v>750</v>
      </c>
      <c r="C17" s="994" t="s">
        <v>751</v>
      </c>
      <c r="D17" s="993" t="s">
        <v>734</v>
      </c>
      <c r="E17" s="603"/>
    </row>
    <row r="18" spans="1:5" ht="19.5" customHeight="1" x14ac:dyDescent="0.2">
      <c r="A18" s="997"/>
      <c r="B18" s="993" t="s">
        <v>207</v>
      </c>
      <c r="C18" s="994" t="s">
        <v>752</v>
      </c>
      <c r="D18" s="993" t="s">
        <v>734</v>
      </c>
      <c r="E18" s="603"/>
    </row>
    <row r="19" spans="1:5" ht="19.5" customHeight="1" x14ac:dyDescent="0.2">
      <c r="A19" s="992">
        <v>38388</v>
      </c>
      <c r="B19" s="993" t="s">
        <v>215</v>
      </c>
      <c r="C19" s="994" t="s">
        <v>753</v>
      </c>
      <c r="D19" s="993" t="s">
        <v>734</v>
      </c>
      <c r="E19" s="603"/>
    </row>
    <row r="20" spans="1:5" ht="19.5" customHeight="1" x14ac:dyDescent="0.2">
      <c r="A20" s="992">
        <v>38396</v>
      </c>
      <c r="B20" s="993" t="s">
        <v>209</v>
      </c>
      <c r="C20" s="994" t="s">
        <v>754</v>
      </c>
      <c r="D20" s="993" t="s">
        <v>755</v>
      </c>
      <c r="E20" s="603"/>
    </row>
    <row r="21" spans="1:5" ht="19.5" customHeight="1" x14ac:dyDescent="0.2">
      <c r="A21" s="992">
        <v>38431</v>
      </c>
      <c r="B21" s="993" t="s">
        <v>206</v>
      </c>
      <c r="C21" s="994" t="s">
        <v>756</v>
      </c>
      <c r="D21" s="993" t="s">
        <v>736</v>
      </c>
      <c r="E21" s="603"/>
    </row>
    <row r="22" spans="1:5" ht="19.5" customHeight="1" x14ac:dyDescent="0.2">
      <c r="A22" s="992">
        <v>38439</v>
      </c>
      <c r="B22" s="993" t="s">
        <v>171</v>
      </c>
      <c r="C22" s="994" t="s">
        <v>757</v>
      </c>
      <c r="D22" s="993" t="s">
        <v>734</v>
      </c>
      <c r="E22" s="603"/>
    </row>
    <row r="23" spans="1:5" ht="19.5" customHeight="1" x14ac:dyDescent="0.2">
      <c r="A23" s="1789">
        <v>38442</v>
      </c>
      <c r="B23" s="993" t="s">
        <v>758</v>
      </c>
      <c r="C23" s="994" t="s">
        <v>759</v>
      </c>
      <c r="D23" s="993" t="s">
        <v>734</v>
      </c>
      <c r="E23" s="603"/>
    </row>
    <row r="24" spans="1:5" ht="19.5" customHeight="1" x14ac:dyDescent="0.2">
      <c r="A24" s="1795"/>
      <c r="B24" s="993" t="s">
        <v>760</v>
      </c>
      <c r="C24" s="994" t="s">
        <v>761</v>
      </c>
      <c r="D24" s="993" t="s">
        <v>762</v>
      </c>
      <c r="E24" s="603"/>
    </row>
    <row r="25" spans="1:5" ht="19.5" customHeight="1" x14ac:dyDescent="0.2">
      <c r="A25" s="1789">
        <v>38443</v>
      </c>
      <c r="B25" s="993" t="s">
        <v>145</v>
      </c>
      <c r="C25" s="994" t="s">
        <v>763</v>
      </c>
      <c r="D25" s="993" t="s">
        <v>755</v>
      </c>
      <c r="E25" s="603"/>
    </row>
    <row r="26" spans="1:5" ht="19.5" customHeight="1" x14ac:dyDescent="0.2">
      <c r="A26" s="1796"/>
      <c r="B26" s="993" t="s">
        <v>174</v>
      </c>
      <c r="C26" s="994" t="s">
        <v>764</v>
      </c>
      <c r="D26" s="993" t="s">
        <v>755</v>
      </c>
      <c r="E26" s="603"/>
    </row>
    <row r="27" spans="1:5" ht="19.5" customHeight="1" x14ac:dyDescent="0.2">
      <c r="A27" s="1796"/>
      <c r="B27" s="993" t="s">
        <v>765</v>
      </c>
      <c r="C27" s="994" t="s">
        <v>766</v>
      </c>
      <c r="D27" s="993" t="s">
        <v>734</v>
      </c>
      <c r="E27" s="603"/>
    </row>
    <row r="28" spans="1:5" ht="19.5" customHeight="1" x14ac:dyDescent="0.2">
      <c r="A28" s="1796"/>
      <c r="B28" s="993" t="s">
        <v>767</v>
      </c>
      <c r="C28" s="994" t="s">
        <v>768</v>
      </c>
      <c r="D28" s="993" t="s">
        <v>734</v>
      </c>
      <c r="E28" s="603"/>
    </row>
    <row r="29" spans="1:5" ht="19.5" customHeight="1" x14ac:dyDescent="0.2">
      <c r="A29" s="1796"/>
      <c r="B29" s="993" t="s">
        <v>185</v>
      </c>
      <c r="C29" s="994" t="s">
        <v>769</v>
      </c>
      <c r="D29" s="993" t="s">
        <v>734</v>
      </c>
      <c r="E29" s="603"/>
    </row>
    <row r="30" spans="1:5" ht="19.5" customHeight="1" x14ac:dyDescent="0.2">
      <c r="A30" s="1796"/>
      <c r="B30" s="993" t="s">
        <v>200</v>
      </c>
      <c r="C30" s="994" t="s">
        <v>770</v>
      </c>
      <c r="D30" s="993" t="s">
        <v>734</v>
      </c>
      <c r="E30" s="603"/>
    </row>
    <row r="31" spans="1:5" ht="19.5" customHeight="1" x14ac:dyDescent="0.2">
      <c r="A31" s="1797"/>
      <c r="B31" s="993" t="s">
        <v>771</v>
      </c>
      <c r="C31" s="994" t="s">
        <v>772</v>
      </c>
      <c r="D31" s="993" t="s">
        <v>734</v>
      </c>
      <c r="E31" s="603"/>
    </row>
    <row r="32" spans="1:5" ht="19.5" customHeight="1" x14ac:dyDescent="0.2">
      <c r="A32" s="992">
        <v>38565</v>
      </c>
      <c r="B32" s="993" t="s">
        <v>204</v>
      </c>
      <c r="C32" s="994" t="s">
        <v>773</v>
      </c>
      <c r="D32" s="993" t="s">
        <v>734</v>
      </c>
      <c r="E32" s="603"/>
    </row>
    <row r="33" spans="1:5" ht="19.5" customHeight="1" x14ac:dyDescent="0.2">
      <c r="A33" s="992">
        <v>38621</v>
      </c>
      <c r="B33" s="993" t="s">
        <v>210</v>
      </c>
      <c r="C33" s="994" t="s">
        <v>774</v>
      </c>
      <c r="D33" s="993" t="s">
        <v>734</v>
      </c>
      <c r="E33" s="603"/>
    </row>
    <row r="34" spans="1:5" ht="19.5" customHeight="1" x14ac:dyDescent="0.2">
      <c r="A34" s="1789">
        <v>38718</v>
      </c>
      <c r="B34" s="993" t="s">
        <v>183</v>
      </c>
      <c r="C34" s="994" t="s">
        <v>775</v>
      </c>
      <c r="D34" s="993" t="s">
        <v>734</v>
      </c>
      <c r="E34" s="603"/>
    </row>
    <row r="35" spans="1:5" ht="19.5" customHeight="1" x14ac:dyDescent="0.2">
      <c r="A35" s="1790"/>
      <c r="B35" s="993" t="s">
        <v>181</v>
      </c>
      <c r="C35" s="994" t="s">
        <v>776</v>
      </c>
      <c r="D35" s="993" t="s">
        <v>734</v>
      </c>
      <c r="E35" s="603"/>
    </row>
    <row r="36" spans="1:5" ht="19.5" customHeight="1" x14ac:dyDescent="0.2">
      <c r="A36" s="1791"/>
      <c r="B36" s="993" t="s">
        <v>220</v>
      </c>
      <c r="C36" s="994" t="s">
        <v>777</v>
      </c>
      <c r="D36" s="993" t="s">
        <v>734</v>
      </c>
      <c r="E36" s="603"/>
    </row>
    <row r="37" spans="1:5" ht="19.5" customHeight="1" x14ac:dyDescent="0.2">
      <c r="A37" s="992">
        <v>38721</v>
      </c>
      <c r="B37" s="993" t="s">
        <v>216</v>
      </c>
      <c r="C37" s="994" t="s">
        <v>778</v>
      </c>
      <c r="D37" s="993" t="s">
        <v>734</v>
      </c>
      <c r="E37" s="603"/>
    </row>
    <row r="38" spans="1:5" ht="19.5" customHeight="1" x14ac:dyDescent="0.2">
      <c r="A38" s="1799">
        <v>38727</v>
      </c>
      <c r="B38" s="993" t="s">
        <v>210</v>
      </c>
      <c r="C38" s="994" t="s">
        <v>779</v>
      </c>
      <c r="D38" s="993" t="s">
        <v>734</v>
      </c>
      <c r="E38" s="603"/>
    </row>
    <row r="39" spans="1:5" ht="19.5" customHeight="1" x14ac:dyDescent="0.2">
      <c r="A39" s="1800"/>
      <c r="B39" s="993" t="s">
        <v>780</v>
      </c>
      <c r="C39" s="994" t="s">
        <v>781</v>
      </c>
      <c r="D39" s="993" t="s">
        <v>736</v>
      </c>
      <c r="E39" s="603"/>
    </row>
    <row r="40" spans="1:5" ht="19.5" customHeight="1" x14ac:dyDescent="0.2">
      <c r="A40" s="997">
        <v>38740</v>
      </c>
      <c r="B40" s="998" t="s">
        <v>782</v>
      </c>
      <c r="C40" s="999" t="s">
        <v>783</v>
      </c>
      <c r="D40" s="998" t="s">
        <v>734</v>
      </c>
      <c r="E40" s="603"/>
    </row>
    <row r="41" spans="1:5" ht="19.5" customHeight="1" x14ac:dyDescent="0.2">
      <c r="A41" s="992">
        <v>38749</v>
      </c>
      <c r="B41" s="993" t="s">
        <v>176</v>
      </c>
      <c r="C41" s="994" t="s">
        <v>784</v>
      </c>
      <c r="D41" s="993" t="s">
        <v>734</v>
      </c>
      <c r="E41" s="603"/>
    </row>
    <row r="42" spans="1:5" ht="19.5" customHeight="1" x14ac:dyDescent="0.2">
      <c r="A42" s="1789">
        <v>38777</v>
      </c>
      <c r="B42" s="993" t="s">
        <v>785</v>
      </c>
      <c r="C42" s="994" t="s">
        <v>786</v>
      </c>
      <c r="D42" s="993" t="s">
        <v>734</v>
      </c>
      <c r="E42" s="603"/>
    </row>
    <row r="43" spans="1:5" ht="19.5" customHeight="1" x14ac:dyDescent="0.2">
      <c r="A43" s="1795"/>
      <c r="B43" s="993" t="s">
        <v>787</v>
      </c>
      <c r="C43" s="994" t="s">
        <v>788</v>
      </c>
      <c r="D43" s="993" t="s">
        <v>734</v>
      </c>
      <c r="E43" s="603"/>
    </row>
    <row r="44" spans="1:5" ht="19.5" customHeight="1" x14ac:dyDescent="0.2">
      <c r="A44" s="995">
        <v>38796</v>
      </c>
      <c r="B44" s="993" t="s">
        <v>186</v>
      </c>
      <c r="C44" s="994" t="s">
        <v>789</v>
      </c>
      <c r="D44" s="993" t="s">
        <v>736</v>
      </c>
      <c r="E44" s="603"/>
    </row>
    <row r="45" spans="1:5" ht="19.5" customHeight="1" x14ac:dyDescent="0.2">
      <c r="A45" s="992">
        <v>38803</v>
      </c>
      <c r="B45" s="993" t="s">
        <v>790</v>
      </c>
      <c r="C45" s="994" t="s">
        <v>791</v>
      </c>
      <c r="D45" s="993" t="s">
        <v>734</v>
      </c>
      <c r="E45" s="603"/>
    </row>
    <row r="46" spans="1:5" ht="19.5" customHeight="1" x14ac:dyDescent="0.2">
      <c r="A46" s="992">
        <v>38807</v>
      </c>
      <c r="B46" s="993" t="s">
        <v>771</v>
      </c>
      <c r="C46" s="994" t="s">
        <v>792</v>
      </c>
      <c r="D46" s="993" t="s">
        <v>734</v>
      </c>
      <c r="E46" s="603"/>
    </row>
    <row r="47" spans="1:5" ht="19.5" customHeight="1" x14ac:dyDescent="0.2">
      <c r="A47" s="992">
        <v>38991</v>
      </c>
      <c r="B47" s="993" t="s">
        <v>782</v>
      </c>
      <c r="C47" s="994" t="s">
        <v>793</v>
      </c>
      <c r="D47" s="993" t="s">
        <v>734</v>
      </c>
      <c r="E47" s="603"/>
    </row>
    <row r="48" spans="1:5" ht="19.5" customHeight="1" x14ac:dyDescent="0.2">
      <c r="A48" s="992">
        <v>39172</v>
      </c>
      <c r="B48" s="993" t="s">
        <v>794</v>
      </c>
      <c r="C48" s="994" t="s">
        <v>795</v>
      </c>
      <c r="D48" s="993" t="s">
        <v>734</v>
      </c>
      <c r="E48" s="603"/>
    </row>
    <row r="49" spans="1:5" ht="19.5" customHeight="1" x14ac:dyDescent="0.2">
      <c r="A49" s="992">
        <v>39448</v>
      </c>
      <c r="B49" s="993" t="s">
        <v>796</v>
      </c>
      <c r="C49" s="994" t="s">
        <v>797</v>
      </c>
      <c r="D49" s="993" t="s">
        <v>734</v>
      </c>
      <c r="E49" s="603"/>
    </row>
    <row r="50" spans="1:5" ht="19.5" customHeight="1" x14ac:dyDescent="0.2">
      <c r="A50" s="992">
        <v>39630</v>
      </c>
      <c r="B50" s="993" t="s">
        <v>151</v>
      </c>
      <c r="C50" s="994" t="s">
        <v>798</v>
      </c>
      <c r="D50" s="993" t="s">
        <v>734</v>
      </c>
      <c r="E50" s="603"/>
    </row>
    <row r="51" spans="1:5" ht="19.5" customHeight="1" x14ac:dyDescent="0.2">
      <c r="A51" s="992">
        <v>39938</v>
      </c>
      <c r="B51" s="993" t="s">
        <v>158</v>
      </c>
      <c r="C51" s="1000" t="s">
        <v>799</v>
      </c>
      <c r="D51" s="993" t="s">
        <v>734</v>
      </c>
      <c r="E51" s="603"/>
    </row>
    <row r="52" spans="1:5" ht="19.5" customHeight="1" x14ac:dyDescent="0.2">
      <c r="A52" s="992">
        <v>39965</v>
      </c>
      <c r="B52" s="993" t="s">
        <v>782</v>
      </c>
      <c r="C52" s="1000" t="s">
        <v>800</v>
      </c>
      <c r="D52" s="993" t="s">
        <v>734</v>
      </c>
      <c r="E52" s="603"/>
    </row>
    <row r="53" spans="1:5" ht="19.5" customHeight="1" x14ac:dyDescent="0.2">
      <c r="A53" s="992">
        <v>40179</v>
      </c>
      <c r="B53" s="993" t="s">
        <v>801</v>
      </c>
      <c r="C53" s="1000" t="s">
        <v>802</v>
      </c>
      <c r="D53" s="993" t="s">
        <v>736</v>
      </c>
      <c r="E53" s="603"/>
    </row>
    <row r="54" spans="1:5" ht="19.5" customHeight="1" x14ac:dyDescent="0.2">
      <c r="A54" s="995">
        <v>40260</v>
      </c>
      <c r="B54" s="993" t="s">
        <v>803</v>
      </c>
      <c r="C54" s="1000" t="s">
        <v>804</v>
      </c>
      <c r="D54" s="993" t="s">
        <v>736</v>
      </c>
      <c r="E54" s="603"/>
    </row>
    <row r="55" spans="1:5" ht="19.5" customHeight="1" x14ac:dyDescent="0.2">
      <c r="A55" s="1789">
        <v>40268</v>
      </c>
      <c r="B55" s="993" t="s">
        <v>765</v>
      </c>
      <c r="C55" s="994" t="s">
        <v>805</v>
      </c>
      <c r="D55" s="993" t="s">
        <v>736</v>
      </c>
    </row>
    <row r="56" spans="1:5" ht="19.5" customHeight="1" x14ac:dyDescent="0.2">
      <c r="A56" s="1797"/>
      <c r="B56" s="993" t="s">
        <v>771</v>
      </c>
      <c r="C56" s="994" t="s">
        <v>806</v>
      </c>
      <c r="D56" s="993" t="s">
        <v>736</v>
      </c>
    </row>
    <row r="57" spans="1:5" ht="19.5" customHeight="1" x14ac:dyDescent="0.2">
      <c r="A57" s="992">
        <v>40756</v>
      </c>
      <c r="B57" s="993" t="s">
        <v>807</v>
      </c>
      <c r="C57" s="994" t="s">
        <v>808</v>
      </c>
      <c r="D57" s="993" t="s">
        <v>736</v>
      </c>
    </row>
    <row r="58" spans="1:5" ht="19.5" customHeight="1" x14ac:dyDescent="0.2">
      <c r="A58" s="992">
        <v>40827</v>
      </c>
      <c r="B58" s="993" t="s">
        <v>809</v>
      </c>
      <c r="C58" s="994" t="s">
        <v>810</v>
      </c>
      <c r="D58" s="993" t="s">
        <v>736</v>
      </c>
    </row>
    <row r="59" spans="1:5" ht="15.75" customHeight="1" x14ac:dyDescent="0.2">
      <c r="A59" s="336" t="s">
        <v>811</v>
      </c>
    </row>
    <row r="60" spans="1:5" ht="6" customHeight="1" thickBot="1" x14ac:dyDescent="0.25"/>
    <row r="61" spans="1:5" ht="17.399999999999999" thickTop="1" thickBot="1" x14ac:dyDescent="0.25">
      <c r="A61" s="1792" t="s">
        <v>812</v>
      </c>
      <c r="B61" s="1793"/>
      <c r="C61" s="1793"/>
      <c r="D61" s="1794"/>
    </row>
    <row r="62" spans="1:5" ht="8.25" customHeight="1" thickTop="1" x14ac:dyDescent="0.2"/>
    <row r="63" spans="1:5" s="358" customFormat="1" ht="21.15" customHeight="1" x14ac:dyDescent="0.2">
      <c r="A63" s="990" t="s">
        <v>813</v>
      </c>
      <c r="B63" s="1001" t="s">
        <v>814</v>
      </c>
      <c r="C63" s="1801" t="s">
        <v>815</v>
      </c>
      <c r="D63" s="1801"/>
    </row>
    <row r="64" spans="1:5" ht="37.5" customHeight="1" x14ac:dyDescent="0.2">
      <c r="A64" s="1001">
        <v>35156</v>
      </c>
      <c r="B64" s="1002">
        <v>12</v>
      </c>
      <c r="C64" s="1798" t="s">
        <v>816</v>
      </c>
      <c r="D64" s="1798"/>
    </row>
    <row r="65" spans="1:4" ht="26.25" customHeight="1" x14ac:dyDescent="0.2">
      <c r="A65" s="1001">
        <v>35521</v>
      </c>
      <c r="B65" s="1002">
        <v>17</v>
      </c>
      <c r="C65" s="1798" t="s">
        <v>817</v>
      </c>
      <c r="D65" s="1798"/>
    </row>
    <row r="66" spans="1:4" ht="26.25" customHeight="1" x14ac:dyDescent="0.2">
      <c r="A66" s="1001">
        <v>35886</v>
      </c>
      <c r="B66" s="1002">
        <v>21</v>
      </c>
      <c r="C66" s="1798" t="s">
        <v>818</v>
      </c>
      <c r="D66" s="1798"/>
    </row>
    <row r="67" spans="1:4" ht="26.25" customHeight="1" x14ac:dyDescent="0.2">
      <c r="A67" s="1001">
        <v>36251</v>
      </c>
      <c r="B67" s="1002">
        <v>25</v>
      </c>
      <c r="C67" s="1798" t="s">
        <v>819</v>
      </c>
      <c r="D67" s="1798"/>
    </row>
    <row r="68" spans="1:4" ht="26.25" customHeight="1" x14ac:dyDescent="0.2">
      <c r="A68" s="1001">
        <v>36617</v>
      </c>
      <c r="B68" s="1002">
        <v>27</v>
      </c>
      <c r="C68" s="1798" t="s">
        <v>820</v>
      </c>
      <c r="D68" s="1798"/>
    </row>
    <row r="69" spans="1:4" ht="26.25" customHeight="1" x14ac:dyDescent="0.2">
      <c r="A69" s="1001">
        <v>36982</v>
      </c>
      <c r="B69" s="1002">
        <v>28</v>
      </c>
      <c r="C69" s="1798" t="s">
        <v>821</v>
      </c>
      <c r="D69" s="1798"/>
    </row>
    <row r="70" spans="1:4" ht="26.25" customHeight="1" x14ac:dyDescent="0.2">
      <c r="A70" s="1001">
        <v>37347</v>
      </c>
      <c r="B70" s="1002">
        <v>30</v>
      </c>
      <c r="C70" s="1798" t="s">
        <v>822</v>
      </c>
      <c r="D70" s="1798"/>
    </row>
    <row r="71" spans="1:4" ht="26.25" customHeight="1" x14ac:dyDescent="0.2">
      <c r="A71" s="1001">
        <v>37712</v>
      </c>
      <c r="B71" s="1002">
        <v>35</v>
      </c>
      <c r="C71" s="1798" t="s">
        <v>823</v>
      </c>
      <c r="D71" s="1798"/>
    </row>
    <row r="72" spans="1:4" ht="26.25" customHeight="1" x14ac:dyDescent="0.2">
      <c r="A72" s="1001">
        <v>38443</v>
      </c>
      <c r="B72" s="1002">
        <v>35</v>
      </c>
      <c r="C72" s="1798" t="s">
        <v>824</v>
      </c>
      <c r="D72" s="1798"/>
    </row>
    <row r="73" spans="1:4" ht="26.25" customHeight="1" x14ac:dyDescent="0.2">
      <c r="A73" s="1001">
        <v>38626</v>
      </c>
      <c r="B73" s="1002">
        <v>37</v>
      </c>
      <c r="C73" s="1798" t="s">
        <v>825</v>
      </c>
      <c r="D73" s="1798"/>
    </row>
    <row r="74" spans="1:4" ht="26.25" customHeight="1" x14ac:dyDescent="0.2">
      <c r="A74" s="1001">
        <v>38808</v>
      </c>
      <c r="B74" s="1002">
        <v>36</v>
      </c>
      <c r="C74" s="1798" t="s">
        <v>826</v>
      </c>
      <c r="D74" s="1798"/>
    </row>
    <row r="75" spans="1:4" ht="26.25" customHeight="1" x14ac:dyDescent="0.2">
      <c r="A75" s="1001">
        <v>38991</v>
      </c>
      <c r="B75" s="1002">
        <v>37</v>
      </c>
      <c r="C75" s="1798" t="s">
        <v>827</v>
      </c>
      <c r="D75" s="1798"/>
    </row>
    <row r="76" spans="1:4" ht="26.25" customHeight="1" x14ac:dyDescent="0.2">
      <c r="A76" s="1001">
        <v>39173</v>
      </c>
      <c r="B76" s="1002">
        <v>35</v>
      </c>
      <c r="C76" s="1798" t="s">
        <v>828</v>
      </c>
      <c r="D76" s="1798"/>
    </row>
    <row r="77" spans="1:4" ht="26.25" customHeight="1" x14ac:dyDescent="0.2">
      <c r="A77" s="1001">
        <v>39539</v>
      </c>
      <c r="B77" s="1002">
        <v>39</v>
      </c>
      <c r="C77" s="1798" t="s">
        <v>829</v>
      </c>
      <c r="D77" s="1798"/>
    </row>
    <row r="78" spans="1:4" ht="26.25" customHeight="1" x14ac:dyDescent="0.2">
      <c r="A78" s="1001">
        <v>39904</v>
      </c>
      <c r="B78" s="1002">
        <v>41</v>
      </c>
      <c r="C78" s="1003" t="s">
        <v>830</v>
      </c>
      <c r="D78" s="1004"/>
    </row>
    <row r="79" spans="1:4" ht="26.25" customHeight="1" x14ac:dyDescent="0.2">
      <c r="A79" s="1001">
        <v>40269</v>
      </c>
      <c r="B79" s="1002">
        <v>40</v>
      </c>
      <c r="C79" s="1003" t="s">
        <v>831</v>
      </c>
      <c r="D79" s="1004"/>
    </row>
    <row r="80" spans="1:4" ht="26.25" customHeight="1" x14ac:dyDescent="0.2">
      <c r="A80" s="1001">
        <v>40634</v>
      </c>
      <c r="B80" s="1002">
        <v>41</v>
      </c>
      <c r="C80" s="1005" t="s">
        <v>832</v>
      </c>
      <c r="D80" s="1004"/>
    </row>
    <row r="81" spans="1:5" ht="26.25" customHeight="1" x14ac:dyDescent="0.2">
      <c r="A81" s="1001">
        <v>41000</v>
      </c>
      <c r="B81" s="1002">
        <v>41</v>
      </c>
      <c r="C81" s="1005" t="s">
        <v>833</v>
      </c>
      <c r="D81" s="1004"/>
    </row>
    <row r="82" spans="1:5" ht="26.25" customHeight="1" x14ac:dyDescent="0.2">
      <c r="A82" s="1001">
        <v>41365</v>
      </c>
      <c r="B82" s="1002">
        <v>42</v>
      </c>
      <c r="C82" s="1005" t="s">
        <v>834</v>
      </c>
      <c r="D82" s="1004"/>
    </row>
    <row r="83" spans="1:5" ht="26.25" customHeight="1" x14ac:dyDescent="0.2">
      <c r="A83" s="1001">
        <v>41730</v>
      </c>
      <c r="B83" s="1002">
        <v>43</v>
      </c>
      <c r="C83" s="1005" t="s">
        <v>835</v>
      </c>
      <c r="D83" s="1004"/>
    </row>
    <row r="84" spans="1:5" ht="26.25" customHeight="1" x14ac:dyDescent="0.2">
      <c r="A84" s="1001">
        <v>42095</v>
      </c>
      <c r="B84" s="1002">
        <v>45</v>
      </c>
      <c r="C84" s="1005" t="s">
        <v>836</v>
      </c>
      <c r="D84" s="1004"/>
    </row>
    <row r="85" spans="1:5" ht="26.25" customHeight="1" x14ac:dyDescent="0.2">
      <c r="A85" s="1001">
        <v>42461</v>
      </c>
      <c r="B85" s="1002">
        <v>47</v>
      </c>
      <c r="C85" s="1005" t="s">
        <v>837</v>
      </c>
      <c r="D85" s="1004"/>
    </row>
    <row r="86" spans="1:5" ht="26.25" customHeight="1" x14ac:dyDescent="0.2">
      <c r="A86" s="1001">
        <v>42736</v>
      </c>
      <c r="B86" s="1002">
        <v>48</v>
      </c>
      <c r="C86" s="1005" t="s">
        <v>838</v>
      </c>
      <c r="D86" s="1004"/>
    </row>
    <row r="87" spans="1:5" ht="26.25" customHeight="1" x14ac:dyDescent="0.2">
      <c r="A87" s="1001">
        <v>43191</v>
      </c>
      <c r="B87" s="1002">
        <v>54</v>
      </c>
      <c r="C87" s="1005" t="s">
        <v>839</v>
      </c>
      <c r="D87" s="1004"/>
    </row>
    <row r="88" spans="1:5" ht="26.25" customHeight="1" x14ac:dyDescent="0.2">
      <c r="A88" s="1001">
        <v>43556</v>
      </c>
      <c r="B88" s="1002">
        <v>58</v>
      </c>
      <c r="C88" s="1005" t="s">
        <v>840</v>
      </c>
      <c r="D88" s="1004"/>
    </row>
    <row r="89" spans="1:5" ht="26.25" customHeight="1" x14ac:dyDescent="0.2">
      <c r="A89" s="1001">
        <v>43922</v>
      </c>
      <c r="B89" s="1002">
        <v>60</v>
      </c>
      <c r="C89" s="1005" t="s">
        <v>841</v>
      </c>
      <c r="D89" s="1004"/>
    </row>
    <row r="90" spans="1:5" ht="26.25" customHeight="1" x14ac:dyDescent="0.2">
      <c r="A90" s="1001">
        <v>44287</v>
      </c>
      <c r="B90" s="1002">
        <v>62</v>
      </c>
      <c r="C90" s="1005" t="s">
        <v>842</v>
      </c>
      <c r="D90" s="1004"/>
    </row>
    <row r="91" spans="1:5" ht="21" customHeight="1" x14ac:dyDescent="0.2">
      <c r="A91" s="1006"/>
      <c r="B91" s="1007"/>
    </row>
    <row r="92" spans="1:5" ht="21" customHeight="1" x14ac:dyDescent="0.2">
      <c r="A92" s="1575"/>
      <c r="B92" s="1575"/>
      <c r="C92" s="1575"/>
      <c r="D92" s="1575"/>
      <c r="E92" s="1575"/>
    </row>
    <row r="93" spans="1:5" x14ac:dyDescent="0.2">
      <c r="A93" s="1575"/>
      <c r="B93" s="1575"/>
      <c r="C93" s="1575"/>
      <c r="D93" s="1575"/>
      <c r="E93" s="1575"/>
    </row>
  </sheetData>
  <dataConsolidate/>
  <mergeCells count="26">
    <mergeCell ref="C77:D77"/>
    <mergeCell ref="A92:E93"/>
    <mergeCell ref="C71:D71"/>
    <mergeCell ref="C72:D72"/>
    <mergeCell ref="C73:D73"/>
    <mergeCell ref="C74:D74"/>
    <mergeCell ref="C75:D75"/>
    <mergeCell ref="C76:D76"/>
    <mergeCell ref="C70:D70"/>
    <mergeCell ref="A38:A39"/>
    <mergeCell ref="A42:A43"/>
    <mergeCell ref="A55:A56"/>
    <mergeCell ref="A61:D61"/>
    <mergeCell ref="C63:D63"/>
    <mergeCell ref="C64:D64"/>
    <mergeCell ref="C65:D65"/>
    <mergeCell ref="C66:D66"/>
    <mergeCell ref="C67:D67"/>
    <mergeCell ref="C68:D68"/>
    <mergeCell ref="C69:D69"/>
    <mergeCell ref="A34:A36"/>
    <mergeCell ref="A1:D1"/>
    <mergeCell ref="A7:A8"/>
    <mergeCell ref="A11:A14"/>
    <mergeCell ref="A23:A24"/>
    <mergeCell ref="A25:A31"/>
  </mergeCells>
  <phoneticPr fontId="2"/>
  <pageMargins left="0.74803149606299213" right="0.74803149606299213" top="0.9055118110236221" bottom="0.47244094488188981" header="0.51181102362204722" footer="0.27559055118110237"/>
  <pageSetup paperSize="8" fitToHeight="0" orientation="portrait" r:id="rId1"/>
  <headerFooter alignWithMargins="0"/>
  <rowBreaks count="1" manualBreakCount="1">
    <brk id="60"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4CA4B-BBD8-42AE-942B-7C0AD765177E}">
  <dimension ref="A1:O97"/>
  <sheetViews>
    <sheetView view="pageBreakPreview" topLeftCell="A18" zoomScale="85" zoomScaleNormal="100" zoomScaleSheetLayoutView="85" workbookViewId="0">
      <selection activeCell="C25" sqref="C25"/>
    </sheetView>
  </sheetViews>
  <sheetFormatPr defaultColWidth="13" defaultRowHeight="13.2" x14ac:dyDescent="0.2"/>
  <cols>
    <col min="1" max="1" width="15.33203125" customWidth="1"/>
    <col min="2" max="2" width="33.33203125" customWidth="1"/>
    <col min="3" max="3" width="89.77734375" customWidth="1"/>
  </cols>
  <sheetData>
    <row r="1" spans="1:3" ht="7.5" customHeight="1" x14ac:dyDescent="0.2">
      <c r="A1" s="1"/>
      <c r="B1" s="1"/>
      <c r="C1" s="1"/>
    </row>
    <row r="2" spans="1:3" ht="13.5" customHeight="1" x14ac:dyDescent="0.2">
      <c r="A2" s="1430"/>
      <c r="B2" s="1431"/>
      <c r="C2" s="1431"/>
    </row>
    <row r="3" spans="1:3" ht="12" customHeight="1" x14ac:dyDescent="0.2">
      <c r="A3" s="1"/>
      <c r="B3" s="1"/>
      <c r="C3" s="1"/>
    </row>
    <row r="4" spans="1:3" ht="18.75" customHeight="1" x14ac:dyDescent="0.2">
      <c r="A4" s="1430" t="s">
        <v>3</v>
      </c>
      <c r="B4" s="1431"/>
      <c r="C4" s="1431"/>
    </row>
    <row r="5" spans="1:3" ht="18.75" customHeight="1" x14ac:dyDescent="0.2">
      <c r="A5" s="1430"/>
      <c r="B5" s="1431"/>
      <c r="C5" s="1431"/>
    </row>
    <row r="6" spans="1:3" ht="18.75" customHeight="1" x14ac:dyDescent="0.2">
      <c r="A6" s="2"/>
      <c r="B6" s="6"/>
      <c r="C6" s="6"/>
    </row>
    <row r="7" spans="1:3" x14ac:dyDescent="0.2">
      <c r="A7" s="1" t="s">
        <v>4</v>
      </c>
      <c r="B7" s="1"/>
      <c r="C7" s="1"/>
    </row>
    <row r="8" spans="1:3" ht="11.25" customHeight="1" x14ac:dyDescent="0.2">
      <c r="A8" s="1"/>
      <c r="B8" s="1"/>
      <c r="C8" s="1"/>
    </row>
    <row r="9" spans="1:3" x14ac:dyDescent="0.2">
      <c r="A9" s="5" t="s">
        <v>5</v>
      </c>
      <c r="B9" s="1"/>
      <c r="C9" s="1"/>
    </row>
    <row r="10" spans="1:3" ht="9.75" customHeight="1" x14ac:dyDescent="0.2">
      <c r="A10" s="5"/>
      <c r="B10" s="1"/>
      <c r="C10" s="1"/>
    </row>
    <row r="11" spans="1:3" x14ac:dyDescent="0.2">
      <c r="A11" s="5" t="s">
        <v>6</v>
      </c>
      <c r="B11" s="1"/>
      <c r="C11" s="1"/>
    </row>
    <row r="12" spans="1:3" ht="7.5" customHeight="1" x14ac:dyDescent="0.2">
      <c r="A12" s="5"/>
      <c r="B12" s="1"/>
      <c r="C12" s="1"/>
    </row>
    <row r="13" spans="1:3" x14ac:dyDescent="0.2">
      <c r="A13" s="5" t="s">
        <v>7</v>
      </c>
      <c r="B13" s="1"/>
      <c r="C13" s="1"/>
    </row>
    <row r="14" spans="1:3" ht="14.25" customHeight="1" x14ac:dyDescent="0.2">
      <c r="A14" s="1" t="s">
        <v>8</v>
      </c>
      <c r="B14" s="1"/>
      <c r="C14" s="1"/>
    </row>
    <row r="15" spans="1:3" ht="14.25" customHeight="1" x14ac:dyDescent="0.2">
      <c r="A15" s="1" t="s">
        <v>9</v>
      </c>
      <c r="B15" s="1"/>
      <c r="C15" s="1"/>
    </row>
    <row r="16" spans="1:3" ht="14.25" customHeight="1" x14ac:dyDescent="0.2">
      <c r="A16" s="1" t="s">
        <v>10</v>
      </c>
      <c r="B16" s="1"/>
      <c r="C16" s="1"/>
    </row>
    <row r="17" spans="1:3" ht="14.25" customHeight="1" x14ac:dyDescent="0.2">
      <c r="A17" s="1" t="s">
        <v>11</v>
      </c>
      <c r="B17" s="1"/>
      <c r="C17" s="1"/>
    </row>
    <row r="18" spans="1:3" x14ac:dyDescent="0.2">
      <c r="A18" s="1"/>
      <c r="B18" s="1"/>
      <c r="C18" s="1"/>
    </row>
    <row r="19" spans="1:3" ht="29.25" customHeight="1" x14ac:dyDescent="0.2">
      <c r="A19" s="11" t="s">
        <v>12</v>
      </c>
      <c r="B19" s="12" t="s">
        <v>13</v>
      </c>
      <c r="C19" s="13" t="s">
        <v>14</v>
      </c>
    </row>
    <row r="20" spans="1:3" ht="13.5" customHeight="1" x14ac:dyDescent="0.2">
      <c r="A20" s="1432" t="s">
        <v>15</v>
      </c>
      <c r="B20" s="14" t="s">
        <v>16</v>
      </c>
      <c r="C20" s="1435" t="s">
        <v>17</v>
      </c>
    </row>
    <row r="21" spans="1:3" x14ac:dyDescent="0.2">
      <c r="A21" s="1433"/>
      <c r="B21" s="15" t="s">
        <v>18</v>
      </c>
      <c r="C21" s="1436"/>
    </row>
    <row r="22" spans="1:3" ht="78" customHeight="1" x14ac:dyDescent="0.2">
      <c r="A22" s="1433"/>
      <c r="B22" s="16" t="s">
        <v>19</v>
      </c>
      <c r="C22" s="1436"/>
    </row>
    <row r="23" spans="1:3" ht="18.75" customHeight="1" x14ac:dyDescent="0.2">
      <c r="A23" s="1433"/>
      <c r="B23" s="17" t="s">
        <v>20</v>
      </c>
      <c r="C23" s="18" t="s">
        <v>21</v>
      </c>
    </row>
    <row r="24" spans="1:3" ht="29.25" customHeight="1" x14ac:dyDescent="0.2">
      <c r="A24" s="1434"/>
      <c r="B24" s="19" t="s">
        <v>22</v>
      </c>
      <c r="C24" s="20" t="s">
        <v>23</v>
      </c>
    </row>
    <row r="25" spans="1:3" ht="125.25" customHeight="1" x14ac:dyDescent="0.2">
      <c r="A25" s="1337" t="s">
        <v>24</v>
      </c>
      <c r="B25" s="21" t="s">
        <v>25</v>
      </c>
      <c r="C25" s="22" t="s">
        <v>26</v>
      </c>
    </row>
    <row r="26" spans="1:3" ht="150.75" customHeight="1" x14ac:dyDescent="0.2">
      <c r="A26" s="1428" t="s">
        <v>853</v>
      </c>
      <c r="B26" s="23" t="s">
        <v>27</v>
      </c>
      <c r="C26" s="24" t="s">
        <v>28</v>
      </c>
    </row>
    <row r="27" spans="1:3" ht="11.25" customHeight="1" x14ac:dyDescent="0.2">
      <c r="A27" s="1428"/>
      <c r="B27" s="1420" t="s">
        <v>29</v>
      </c>
      <c r="C27" s="1423" t="s">
        <v>30</v>
      </c>
    </row>
    <row r="28" spans="1:3" ht="11.25" customHeight="1" x14ac:dyDescent="0.2">
      <c r="A28" s="1428"/>
      <c r="B28" s="1421"/>
      <c r="C28" s="1424"/>
    </row>
    <row r="29" spans="1:3" ht="11.25" customHeight="1" x14ac:dyDescent="0.2">
      <c r="A29" s="1428"/>
      <c r="B29" s="1421"/>
      <c r="C29" s="1424"/>
    </row>
    <row r="30" spans="1:3" ht="11.25" customHeight="1" x14ac:dyDescent="0.2">
      <c r="A30" s="1428"/>
      <c r="B30" s="1421"/>
      <c r="C30" s="1424"/>
    </row>
    <row r="31" spans="1:3" ht="11.25" customHeight="1" x14ac:dyDescent="0.2">
      <c r="A31" s="1428"/>
      <c r="B31" s="1422"/>
      <c r="C31" s="1425"/>
    </row>
    <row r="32" spans="1:3" ht="13.5" customHeight="1" x14ac:dyDescent="0.2">
      <c r="A32" s="1428"/>
      <c r="B32" s="1420" t="s">
        <v>31</v>
      </c>
      <c r="C32" s="1426" t="s">
        <v>32</v>
      </c>
    </row>
    <row r="33" spans="1:15" ht="15" customHeight="1" x14ac:dyDescent="0.2">
      <c r="A33" s="1428"/>
      <c r="B33" s="1421"/>
      <c r="C33" s="1427"/>
    </row>
    <row r="34" spans="1:15" ht="15" customHeight="1" x14ac:dyDescent="0.2">
      <c r="A34" s="1428"/>
      <c r="B34" s="1421"/>
      <c r="C34" s="1427"/>
    </row>
    <row r="35" spans="1:15" ht="36.75" customHeight="1" x14ac:dyDescent="0.2">
      <c r="A35" s="1428"/>
      <c r="B35" s="1422"/>
      <c r="C35" s="1427"/>
    </row>
    <row r="36" spans="1:15" ht="111.75" customHeight="1" x14ac:dyDescent="0.2">
      <c r="A36" s="1428"/>
      <c r="B36" s="17" t="s">
        <v>33</v>
      </c>
      <c r="C36" s="25" t="s">
        <v>34</v>
      </c>
    </row>
    <row r="37" spans="1:15" ht="51.75" customHeight="1" x14ac:dyDescent="0.2">
      <c r="A37" s="1428"/>
      <c r="B37" s="26" t="s">
        <v>35</v>
      </c>
      <c r="C37" s="27" t="s">
        <v>36</v>
      </c>
    </row>
    <row r="38" spans="1:15" ht="225" customHeight="1" x14ac:dyDescent="0.2">
      <c r="A38" s="1429"/>
      <c r="B38" s="28" t="s">
        <v>37</v>
      </c>
      <c r="C38" s="29" t="s">
        <v>38</v>
      </c>
    </row>
    <row r="39" spans="1:15" ht="18.75" customHeight="1" x14ac:dyDescent="0.2">
      <c r="A39" s="1432" t="s">
        <v>39</v>
      </c>
      <c r="B39" s="1441" t="s">
        <v>40</v>
      </c>
      <c r="C39" s="1380" t="s">
        <v>862</v>
      </c>
    </row>
    <row r="40" spans="1:15" ht="42" customHeight="1" x14ac:dyDescent="0.2">
      <c r="A40" s="1434"/>
      <c r="B40" s="1442"/>
      <c r="C40" s="20" t="s">
        <v>41</v>
      </c>
    </row>
    <row r="41" spans="1:15" ht="34.5" customHeight="1" x14ac:dyDescent="0.2">
      <c r="A41" s="1443" t="s">
        <v>42</v>
      </c>
      <c r="B41" s="30" t="s">
        <v>43</v>
      </c>
      <c r="C41" s="31" t="s">
        <v>860</v>
      </c>
    </row>
    <row r="42" spans="1:15" ht="34.5" customHeight="1" x14ac:dyDescent="0.2">
      <c r="A42" s="1444"/>
      <c r="B42" s="17" t="s">
        <v>44</v>
      </c>
      <c r="C42" s="31" t="s">
        <v>860</v>
      </c>
    </row>
    <row r="43" spans="1:15" ht="18.75" customHeight="1" x14ac:dyDescent="0.2">
      <c r="A43" s="1444"/>
      <c r="B43" s="17" t="s">
        <v>45</v>
      </c>
      <c r="C43" s="32" t="s">
        <v>861</v>
      </c>
    </row>
    <row r="44" spans="1:15" ht="34.5" customHeight="1" x14ac:dyDescent="0.2">
      <c r="A44" s="1444"/>
      <c r="B44" s="17" t="s">
        <v>46</v>
      </c>
      <c r="C44" s="25" t="s">
        <v>47</v>
      </c>
    </row>
    <row r="45" spans="1:15" ht="18.75" customHeight="1" x14ac:dyDescent="0.2">
      <c r="A45" s="1444"/>
      <c r="B45" s="17" t="s">
        <v>48</v>
      </c>
      <c r="C45" s="33" t="s">
        <v>49</v>
      </c>
    </row>
    <row r="46" spans="1:15" ht="18.75" customHeight="1" x14ac:dyDescent="0.2">
      <c r="A46" s="1444"/>
      <c r="B46" s="34" t="s">
        <v>50</v>
      </c>
      <c r="C46" s="33" t="s">
        <v>51</v>
      </c>
    </row>
    <row r="47" spans="1:15" ht="58.5" customHeight="1" x14ac:dyDescent="0.2">
      <c r="A47" s="1445"/>
      <c r="B47" s="35" t="s">
        <v>52</v>
      </c>
      <c r="C47" s="36" t="s">
        <v>53</v>
      </c>
    </row>
    <row r="48" spans="1:15" ht="45.75" customHeight="1" x14ac:dyDescent="0.2">
      <c r="A48" s="1432" t="s">
        <v>54</v>
      </c>
      <c r="B48" s="37" t="s">
        <v>55</v>
      </c>
      <c r="C48" s="31" t="s">
        <v>56</v>
      </c>
      <c r="O48" s="38"/>
    </row>
    <row r="49" spans="1:3" ht="18.75" customHeight="1" x14ac:dyDescent="0.2">
      <c r="A49" s="1433"/>
      <c r="B49" s="39" t="s">
        <v>57</v>
      </c>
      <c r="C49" s="32" t="s">
        <v>58</v>
      </c>
    </row>
    <row r="50" spans="1:3" ht="18.75" customHeight="1" x14ac:dyDescent="0.2">
      <c r="A50" s="1433"/>
      <c r="B50" s="39" t="s">
        <v>59</v>
      </c>
      <c r="C50" s="32" t="s">
        <v>60</v>
      </c>
    </row>
    <row r="51" spans="1:3" ht="138.75" customHeight="1" x14ac:dyDescent="0.2">
      <c r="A51" s="1433"/>
      <c r="B51" s="39" t="s">
        <v>61</v>
      </c>
      <c r="C51" s="18" t="s">
        <v>62</v>
      </c>
    </row>
    <row r="52" spans="1:3" ht="65.25" customHeight="1" x14ac:dyDescent="0.2">
      <c r="A52" s="1434"/>
      <c r="B52" s="40" t="s">
        <v>63</v>
      </c>
      <c r="C52" s="36" t="s">
        <v>64</v>
      </c>
    </row>
    <row r="53" spans="1:3" ht="152.25" customHeight="1" x14ac:dyDescent="0.2">
      <c r="A53" s="1432" t="s">
        <v>65</v>
      </c>
      <c r="B53" s="41" t="s">
        <v>66</v>
      </c>
      <c r="C53" s="42" t="s">
        <v>67</v>
      </c>
    </row>
    <row r="54" spans="1:3" ht="24" customHeight="1" x14ac:dyDescent="0.2">
      <c r="A54" s="1433"/>
      <c r="B54" s="1446" t="s">
        <v>68</v>
      </c>
      <c r="C54" s="1426" t="s">
        <v>69</v>
      </c>
    </row>
    <row r="55" spans="1:3" ht="30" customHeight="1" x14ac:dyDescent="0.2">
      <c r="A55" s="1433"/>
      <c r="B55" s="1447"/>
      <c r="C55" s="1437"/>
    </row>
    <row r="56" spans="1:3" ht="45" customHeight="1" x14ac:dyDescent="0.2">
      <c r="A56" s="1433"/>
      <c r="B56" s="43" t="s">
        <v>70</v>
      </c>
      <c r="C56" s="27" t="s">
        <v>71</v>
      </c>
    </row>
    <row r="57" spans="1:3" ht="18.75" customHeight="1" x14ac:dyDescent="0.2">
      <c r="A57" s="1433"/>
      <c r="B57" s="44" t="s">
        <v>72</v>
      </c>
      <c r="C57" s="33" t="s">
        <v>73</v>
      </c>
    </row>
    <row r="58" spans="1:3" ht="93" customHeight="1" x14ac:dyDescent="0.2">
      <c r="A58" s="1433"/>
      <c r="B58" s="45" t="s">
        <v>74</v>
      </c>
      <c r="C58" s="42" t="s">
        <v>75</v>
      </c>
    </row>
    <row r="59" spans="1:3" ht="111.75" customHeight="1" x14ac:dyDescent="0.2">
      <c r="A59" s="1434"/>
      <c r="B59" s="46" t="s">
        <v>76</v>
      </c>
      <c r="C59" s="47" t="s">
        <v>77</v>
      </c>
    </row>
    <row r="60" spans="1:3" ht="50.25" customHeight="1" x14ac:dyDescent="0.2">
      <c r="A60" s="1438" t="s">
        <v>78</v>
      </c>
      <c r="B60" s="48" t="s">
        <v>79</v>
      </c>
      <c r="C60" s="49" t="s">
        <v>80</v>
      </c>
    </row>
    <row r="61" spans="1:3" ht="45" customHeight="1" x14ac:dyDescent="0.2">
      <c r="A61" s="1439"/>
      <c r="B61" s="50" t="s">
        <v>81</v>
      </c>
      <c r="C61" s="29" t="s">
        <v>82</v>
      </c>
    </row>
    <row r="63" spans="1:3" x14ac:dyDescent="0.2">
      <c r="C63" s="38"/>
    </row>
    <row r="64" spans="1:3" x14ac:dyDescent="0.2">
      <c r="C64" s="38"/>
    </row>
    <row r="65" spans="3:3" x14ac:dyDescent="0.2">
      <c r="C65" s="38"/>
    </row>
    <row r="96" spans="1:3" ht="21.75" customHeight="1" x14ac:dyDescent="0.2">
      <c r="A96" s="1440"/>
      <c r="B96" s="1440"/>
      <c r="C96" s="1440"/>
    </row>
    <row r="97" spans="1:3" ht="18" customHeight="1" x14ac:dyDescent="0.2">
      <c r="A97" s="51"/>
      <c r="B97" s="51"/>
      <c r="C97" s="51"/>
    </row>
  </sheetData>
  <mergeCells count="19">
    <mergeCell ref="C54:C55"/>
    <mergeCell ref="A60:A61"/>
    <mergeCell ref="A96:C96"/>
    <mergeCell ref="A39:A40"/>
    <mergeCell ref="B39:B40"/>
    <mergeCell ref="A41:A47"/>
    <mergeCell ref="A48:A52"/>
    <mergeCell ref="A53:A59"/>
    <mergeCell ref="B54:B55"/>
    <mergeCell ref="A2:C2"/>
    <mergeCell ref="A4:C4"/>
    <mergeCell ref="A5:C5"/>
    <mergeCell ref="A20:A24"/>
    <mergeCell ref="C20:C22"/>
    <mergeCell ref="B27:B31"/>
    <mergeCell ref="C27:C31"/>
    <mergeCell ref="B32:B35"/>
    <mergeCell ref="C32:C35"/>
    <mergeCell ref="A26:A38"/>
  </mergeCells>
  <phoneticPr fontId="2"/>
  <pageMargins left="0.74803149606299213" right="0.23622047244094491" top="0.47244094488188981" bottom="0.39370078740157483" header="0.23622047244094491" footer="0.31496062992125984"/>
  <pageSetup paperSize="9" scale="68" orientation="portrait" r:id="rId1"/>
  <headerFooter alignWithMargins="0"/>
  <rowBreaks count="1" manualBreakCount="1">
    <brk id="38"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B120-D157-4429-A78F-ED8745465BB7}">
  <sheetPr transitionEvaluation="1"/>
  <dimension ref="A1:AM76"/>
  <sheetViews>
    <sheetView showGridLines="0" view="pageBreakPreview" zoomScale="70" zoomScaleNormal="80" zoomScaleSheetLayoutView="70" workbookViewId="0">
      <pane xSplit="1" ySplit="6" topLeftCell="B7" activePane="bottomRight" state="frozen"/>
      <selection activeCell="E12" sqref="E12"/>
      <selection pane="topRight" activeCell="E12" sqref="E12"/>
      <selection pane="bottomLeft" activeCell="E12" sqref="E12"/>
      <selection pane="bottomRight" activeCell="AJ12" sqref="AJ12"/>
    </sheetView>
  </sheetViews>
  <sheetFormatPr defaultColWidth="9" defaultRowHeight="14.4" x14ac:dyDescent="0.2"/>
  <cols>
    <col min="1" max="1" width="12.44140625" style="68" customWidth="1"/>
    <col min="2" max="2" width="13" style="57" customWidth="1"/>
    <col min="3" max="3" width="9.5546875" style="57" customWidth="1"/>
    <col min="4" max="7" width="9" style="57" customWidth="1"/>
    <col min="8" max="8" width="12" style="57" customWidth="1"/>
    <col min="9" max="10" width="9.21875" style="57" customWidth="1"/>
    <col min="11" max="11" width="9.77734375" style="57" customWidth="1"/>
    <col min="12" max="14" width="11.6640625" style="57" customWidth="1"/>
    <col min="15" max="15" width="13.109375" style="57" customWidth="1"/>
    <col min="16" max="16" width="10.44140625" style="57" customWidth="1"/>
    <col min="17" max="17" width="13.6640625" style="57" customWidth="1"/>
    <col min="18" max="18" width="12.6640625" style="57" customWidth="1"/>
    <col min="19" max="19" width="10.33203125" style="57" customWidth="1"/>
    <col min="20" max="20" width="12.44140625" style="68" customWidth="1"/>
    <col min="21" max="24" width="12.44140625" style="57" customWidth="1"/>
    <col min="25" max="25" width="13.109375" style="57" customWidth="1"/>
    <col min="26" max="26" width="17.44140625" style="57" customWidth="1"/>
    <col min="27" max="27" width="53.109375" style="57" customWidth="1"/>
    <col min="28" max="30" width="21.44140625" style="57" customWidth="1"/>
    <col min="31" max="35" width="15" style="57" customWidth="1"/>
    <col min="36" max="36" width="15" style="289" customWidth="1"/>
    <col min="37" max="38" width="9.6640625" style="57" customWidth="1"/>
    <col min="39" max="16384" width="9" style="57"/>
  </cols>
  <sheetData>
    <row r="1" spans="1:38" s="53" customFormat="1" ht="19.2" x14ac:dyDescent="0.2">
      <c r="A1" s="52" t="s">
        <v>83</v>
      </c>
      <c r="F1" s="54"/>
      <c r="T1" s="52"/>
      <c r="AJ1" s="54"/>
    </row>
    <row r="2" spans="1:38" ht="10.5" customHeight="1" x14ac:dyDescent="0.2">
      <c r="A2" s="55"/>
      <c r="B2" s="56"/>
      <c r="C2" s="56"/>
      <c r="F2" s="1448"/>
      <c r="G2" s="1449"/>
      <c r="H2" s="1449"/>
      <c r="I2" s="1449"/>
      <c r="J2" s="1449"/>
      <c r="L2" s="58"/>
      <c r="P2" s="56"/>
      <c r="S2" s="59"/>
      <c r="T2" s="55"/>
      <c r="AI2" s="56"/>
      <c r="AJ2" s="60"/>
      <c r="AK2" s="56"/>
      <c r="AL2" s="56"/>
    </row>
    <row r="3" spans="1:38" s="68" customFormat="1" ht="16.5" customHeight="1" x14ac:dyDescent="0.15">
      <c r="A3" s="61" t="s">
        <v>84</v>
      </c>
      <c r="B3" s="1450" t="s">
        <v>85</v>
      </c>
      <c r="C3" s="62"/>
      <c r="D3" s="63"/>
      <c r="E3" s="63"/>
      <c r="F3" s="63"/>
      <c r="G3" s="64"/>
      <c r="H3" s="1453" t="s">
        <v>86</v>
      </c>
      <c r="I3" s="1454"/>
      <c r="J3" s="1454"/>
      <c r="K3" s="1455"/>
      <c r="L3" s="1456" t="s">
        <v>87</v>
      </c>
      <c r="M3" s="1454"/>
      <c r="N3" s="1457"/>
      <c r="O3" s="65" t="s">
        <v>88</v>
      </c>
      <c r="P3" s="63"/>
      <c r="Q3" s="1458" t="s">
        <v>89</v>
      </c>
      <c r="R3" s="1458" t="s">
        <v>90</v>
      </c>
      <c r="S3" s="1478" t="s">
        <v>91</v>
      </c>
      <c r="T3" s="1480" t="s">
        <v>92</v>
      </c>
      <c r="U3" s="1453" t="s">
        <v>93</v>
      </c>
      <c r="V3" s="1454"/>
      <c r="W3" s="1454"/>
      <c r="X3" s="1457"/>
      <c r="Y3" s="1485" t="s">
        <v>94</v>
      </c>
      <c r="Z3" s="1486" t="s">
        <v>95</v>
      </c>
      <c r="AA3" s="1488" t="s">
        <v>96</v>
      </c>
      <c r="AB3" s="1468"/>
      <c r="AC3" s="1468"/>
      <c r="AD3" s="1489"/>
      <c r="AE3" s="1464" t="s">
        <v>97</v>
      </c>
      <c r="AF3" s="1467" t="s">
        <v>98</v>
      </c>
      <c r="AG3" s="1468"/>
      <c r="AH3" s="1469"/>
      <c r="AI3" s="66" t="s">
        <v>99</v>
      </c>
      <c r="AJ3" s="67" t="s">
        <v>100</v>
      </c>
    </row>
    <row r="4" spans="1:38" s="68" customFormat="1" ht="16.5" customHeight="1" x14ac:dyDescent="0.2">
      <c r="A4" s="69"/>
      <c r="B4" s="1451"/>
      <c r="C4" s="70" t="s">
        <v>101</v>
      </c>
      <c r="D4" s="71" t="s">
        <v>102</v>
      </c>
      <c r="E4" s="71" t="s">
        <v>103</v>
      </c>
      <c r="F4" s="72" t="s">
        <v>104</v>
      </c>
      <c r="G4" s="70" t="s">
        <v>105</v>
      </c>
      <c r="H4" s="73"/>
      <c r="I4" s="74"/>
      <c r="J4" s="75"/>
      <c r="K4" s="1470" t="s">
        <v>106</v>
      </c>
      <c r="L4" s="76"/>
      <c r="M4" s="77"/>
      <c r="N4" s="78"/>
      <c r="O4" s="79"/>
      <c r="P4" s="80" t="s">
        <v>102</v>
      </c>
      <c r="Q4" s="1459"/>
      <c r="R4" s="1459"/>
      <c r="S4" s="1479"/>
      <c r="T4" s="1481"/>
      <c r="U4" s="1472" t="s">
        <v>107</v>
      </c>
      <c r="V4" s="1472" t="s">
        <v>108</v>
      </c>
      <c r="W4" s="1472" t="s">
        <v>109</v>
      </c>
      <c r="X4" s="1472" t="s">
        <v>110</v>
      </c>
      <c r="Y4" s="1459"/>
      <c r="Z4" s="1487"/>
      <c r="AA4" s="1474" t="s">
        <v>111</v>
      </c>
      <c r="AB4" s="1476" t="s">
        <v>112</v>
      </c>
      <c r="AC4" s="1476" t="s">
        <v>113</v>
      </c>
      <c r="AD4" s="1490" t="s">
        <v>114</v>
      </c>
      <c r="AE4" s="1465"/>
      <c r="AF4" s="1461" t="s">
        <v>115</v>
      </c>
      <c r="AG4" s="1461" t="s">
        <v>16</v>
      </c>
      <c r="AH4" s="1461" t="s">
        <v>116</v>
      </c>
      <c r="AI4" s="81" t="s">
        <v>117</v>
      </c>
      <c r="AJ4" s="82" t="s">
        <v>117</v>
      </c>
    </row>
    <row r="5" spans="1:38" s="68" customFormat="1" ht="16.5" customHeight="1" x14ac:dyDescent="0.2">
      <c r="A5" s="69"/>
      <c r="B5" s="1452"/>
      <c r="C5" s="83" t="s">
        <v>118</v>
      </c>
      <c r="D5" s="84" t="s">
        <v>119</v>
      </c>
      <c r="E5" s="85" t="s">
        <v>120</v>
      </c>
      <c r="F5" s="85" t="s">
        <v>120</v>
      </c>
      <c r="G5" s="85" t="s">
        <v>120</v>
      </c>
      <c r="H5" s="85" t="s">
        <v>121</v>
      </c>
      <c r="I5" s="86" t="s">
        <v>122</v>
      </c>
      <c r="J5" s="86" t="s">
        <v>123</v>
      </c>
      <c r="K5" s="1471"/>
      <c r="L5" s="87" t="s">
        <v>124</v>
      </c>
      <c r="M5" s="86" t="s">
        <v>125</v>
      </c>
      <c r="N5" s="86" t="s">
        <v>126</v>
      </c>
      <c r="O5" s="75"/>
      <c r="P5" s="88" t="s">
        <v>119</v>
      </c>
      <c r="Q5" s="1460"/>
      <c r="R5" s="1460"/>
      <c r="S5" s="1479"/>
      <c r="T5" s="1482"/>
      <c r="U5" s="1473"/>
      <c r="V5" s="1462"/>
      <c r="W5" s="1473"/>
      <c r="X5" s="1473"/>
      <c r="Y5" s="1460"/>
      <c r="Z5" s="1487"/>
      <c r="AA5" s="1475"/>
      <c r="AB5" s="1477"/>
      <c r="AC5" s="1477"/>
      <c r="AD5" s="1491"/>
      <c r="AE5" s="1466"/>
      <c r="AF5" s="1462"/>
      <c r="AG5" s="1462"/>
      <c r="AH5" s="1462"/>
      <c r="AI5" s="89" t="s">
        <v>127</v>
      </c>
      <c r="AJ5" s="90" t="s">
        <v>127</v>
      </c>
    </row>
    <row r="6" spans="1:38" ht="16.5" customHeight="1" x14ac:dyDescent="0.2">
      <c r="A6" s="91" t="s">
        <v>128</v>
      </c>
      <c r="B6" s="92" t="s">
        <v>129</v>
      </c>
      <c r="C6" s="93" t="s">
        <v>130</v>
      </c>
      <c r="D6" s="94" t="s">
        <v>131</v>
      </c>
      <c r="E6" s="94" t="s">
        <v>131</v>
      </c>
      <c r="F6" s="94" t="s">
        <v>131</v>
      </c>
      <c r="G6" s="94" t="s">
        <v>131</v>
      </c>
      <c r="H6" s="94" t="s">
        <v>129</v>
      </c>
      <c r="I6" s="94" t="s">
        <v>129</v>
      </c>
      <c r="J6" s="94" t="s">
        <v>129</v>
      </c>
      <c r="K6" s="95"/>
      <c r="L6" s="92" t="s">
        <v>129</v>
      </c>
      <c r="M6" s="94" t="s">
        <v>129</v>
      </c>
      <c r="N6" s="94" t="s">
        <v>129</v>
      </c>
      <c r="O6" s="93" t="s">
        <v>132</v>
      </c>
      <c r="P6" s="96" t="s">
        <v>131</v>
      </c>
      <c r="Q6" s="94" t="s">
        <v>129</v>
      </c>
      <c r="R6" s="94" t="s">
        <v>133</v>
      </c>
      <c r="S6" s="95" t="s">
        <v>134</v>
      </c>
      <c r="T6" s="92" t="s">
        <v>135</v>
      </c>
      <c r="U6" s="94" t="s">
        <v>135</v>
      </c>
      <c r="V6" s="94" t="s">
        <v>131</v>
      </c>
      <c r="W6" s="94" t="s">
        <v>136</v>
      </c>
      <c r="X6" s="94" t="s">
        <v>135</v>
      </c>
      <c r="Y6" s="94" t="s">
        <v>135</v>
      </c>
      <c r="Z6" s="95" t="s">
        <v>135</v>
      </c>
      <c r="AA6" s="97" t="s">
        <v>137</v>
      </c>
      <c r="AB6" s="94" t="s">
        <v>138</v>
      </c>
      <c r="AC6" s="94" t="s">
        <v>139</v>
      </c>
      <c r="AD6" s="95" t="s">
        <v>138</v>
      </c>
      <c r="AE6" s="92" t="s">
        <v>136</v>
      </c>
      <c r="AF6" s="98" t="s">
        <v>135</v>
      </c>
      <c r="AG6" s="99" t="s">
        <v>16</v>
      </c>
      <c r="AH6" s="100" t="s">
        <v>140</v>
      </c>
      <c r="AI6" s="99" t="s">
        <v>141</v>
      </c>
      <c r="AJ6" s="101" t="s">
        <v>141</v>
      </c>
    </row>
    <row r="7" spans="1:38" ht="15.9" customHeight="1" x14ac:dyDescent="0.2">
      <c r="A7" s="102" t="s">
        <v>142</v>
      </c>
      <c r="B7" s="103">
        <v>253340</v>
      </c>
      <c r="C7" s="104">
        <v>1142</v>
      </c>
      <c r="D7" s="105">
        <v>-1.3</v>
      </c>
      <c r="E7" s="105">
        <v>9.6</v>
      </c>
      <c r="F7" s="105">
        <v>54.9</v>
      </c>
      <c r="G7" s="105">
        <v>35.5</v>
      </c>
      <c r="H7" s="106">
        <v>-2726</v>
      </c>
      <c r="I7" s="106">
        <v>1322</v>
      </c>
      <c r="J7" s="106">
        <v>4048</v>
      </c>
      <c r="K7" s="107">
        <v>1.18</v>
      </c>
      <c r="L7" s="108">
        <v>-1030</v>
      </c>
      <c r="M7" s="106">
        <v>8820</v>
      </c>
      <c r="N7" s="106">
        <v>9850</v>
      </c>
      <c r="O7" s="106">
        <v>141221</v>
      </c>
      <c r="P7" s="109">
        <v>-0.4</v>
      </c>
      <c r="Q7" s="106">
        <v>265979</v>
      </c>
      <c r="R7" s="110">
        <v>102.8</v>
      </c>
      <c r="S7" s="111">
        <v>53</v>
      </c>
      <c r="T7" s="112">
        <v>677.87</v>
      </c>
      <c r="U7" s="113">
        <v>47.9</v>
      </c>
      <c r="V7" s="114">
        <v>89.8</v>
      </c>
      <c r="W7" s="113">
        <v>4750.6000000000004</v>
      </c>
      <c r="X7" s="114">
        <v>95.3</v>
      </c>
      <c r="Y7" s="113" t="s">
        <v>143</v>
      </c>
      <c r="Z7" s="115">
        <v>534.70000000000005</v>
      </c>
      <c r="AA7" s="116">
        <v>43191</v>
      </c>
      <c r="AB7" s="113">
        <v>2679</v>
      </c>
      <c r="AC7" s="117">
        <v>4</v>
      </c>
      <c r="AD7" s="115">
        <v>643</v>
      </c>
      <c r="AE7" s="118">
        <v>373.7</v>
      </c>
      <c r="AF7" s="119">
        <v>42.4</v>
      </c>
      <c r="AG7" s="106">
        <v>229488</v>
      </c>
      <c r="AH7" s="106">
        <v>5415</v>
      </c>
      <c r="AI7" s="106">
        <v>6</v>
      </c>
      <c r="AJ7" s="120">
        <v>2</v>
      </c>
    </row>
    <row r="8" spans="1:38" ht="15.9" customHeight="1" x14ac:dyDescent="0.2">
      <c r="A8" s="121" t="s">
        <v>144</v>
      </c>
      <c r="B8" s="122">
        <v>332610</v>
      </c>
      <c r="C8" s="123">
        <v>1243</v>
      </c>
      <c r="D8" s="124">
        <v>-0.8</v>
      </c>
      <c r="E8" s="124">
        <v>10.8</v>
      </c>
      <c r="F8" s="124">
        <v>55.4</v>
      </c>
      <c r="G8" s="124">
        <v>33.799999999999997</v>
      </c>
      <c r="H8" s="125">
        <f>I8-J8</f>
        <v>-2529</v>
      </c>
      <c r="I8" s="125">
        <v>1967</v>
      </c>
      <c r="J8" s="125">
        <v>4496</v>
      </c>
      <c r="K8" s="126">
        <v>1.31</v>
      </c>
      <c r="L8" s="122">
        <f>M8-N8</f>
        <v>-793</v>
      </c>
      <c r="M8" s="125">
        <v>10800</v>
      </c>
      <c r="N8" s="125">
        <v>11593</v>
      </c>
      <c r="O8" s="125">
        <v>177602</v>
      </c>
      <c r="P8" s="127">
        <v>0.1</v>
      </c>
      <c r="Q8" s="125">
        <v>339605</v>
      </c>
      <c r="R8" s="128">
        <v>100.6</v>
      </c>
      <c r="S8" s="129">
        <v>57.1</v>
      </c>
      <c r="T8" s="130">
        <v>747.66</v>
      </c>
      <c r="U8" s="124">
        <v>79.599999999999994</v>
      </c>
      <c r="V8" s="131">
        <v>96.3</v>
      </c>
      <c r="W8" s="152">
        <v>4110</v>
      </c>
      <c r="X8" s="1021">
        <v>220.9</v>
      </c>
      <c r="Y8" s="124" t="s">
        <v>143</v>
      </c>
      <c r="Z8" s="132">
        <v>447.2</v>
      </c>
      <c r="AA8" s="133">
        <v>43374</v>
      </c>
      <c r="AB8" s="124">
        <v>3190</v>
      </c>
      <c r="AC8" s="134">
        <v>1</v>
      </c>
      <c r="AD8" s="132">
        <v>386</v>
      </c>
      <c r="AE8" s="135">
        <v>445</v>
      </c>
      <c r="AF8" s="136">
        <v>78.959999999999994</v>
      </c>
      <c r="AG8" s="125">
        <v>313661</v>
      </c>
      <c r="AH8" s="125">
        <v>3972</v>
      </c>
      <c r="AI8" s="125">
        <v>5</v>
      </c>
      <c r="AJ8" s="137">
        <v>1</v>
      </c>
    </row>
    <row r="9" spans="1:38" ht="15.9" customHeight="1" x14ac:dyDescent="0.2">
      <c r="A9" s="102" t="s">
        <v>145</v>
      </c>
      <c r="B9" s="103">
        <v>278964</v>
      </c>
      <c r="C9" s="104">
        <v>1099</v>
      </c>
      <c r="D9" s="105">
        <v>-1.1000000000000001</v>
      </c>
      <c r="E9" s="105">
        <v>10.9</v>
      </c>
      <c r="F9" s="105">
        <v>58</v>
      </c>
      <c r="G9" s="105">
        <v>31.1</v>
      </c>
      <c r="H9" s="138">
        <v>-2048</v>
      </c>
      <c r="I9" s="106">
        <v>1635</v>
      </c>
      <c r="J9" s="106">
        <v>3683</v>
      </c>
      <c r="K9" s="107">
        <v>1.34</v>
      </c>
      <c r="L9" s="139">
        <v>-1251</v>
      </c>
      <c r="M9" s="106">
        <v>7507</v>
      </c>
      <c r="N9" s="106">
        <v>8758</v>
      </c>
      <c r="O9" s="106">
        <v>136457</v>
      </c>
      <c r="P9" s="109">
        <v>0</v>
      </c>
      <c r="Q9" s="106">
        <v>287648</v>
      </c>
      <c r="R9" s="110">
        <v>101.5</v>
      </c>
      <c r="S9" s="140">
        <v>70</v>
      </c>
      <c r="T9" s="112">
        <v>824.62</v>
      </c>
      <c r="U9" s="105">
        <v>50.1</v>
      </c>
      <c r="V9" s="141">
        <v>89.9</v>
      </c>
      <c r="W9" s="105">
        <v>4691.8999999999996</v>
      </c>
      <c r="X9" s="141">
        <v>187.6</v>
      </c>
      <c r="Y9" s="105">
        <v>77.400000000000006</v>
      </c>
      <c r="Z9" s="142">
        <v>509.4</v>
      </c>
      <c r="AA9" s="143" t="s">
        <v>146</v>
      </c>
      <c r="AB9" s="105">
        <v>3387.1</v>
      </c>
      <c r="AC9" s="144">
        <v>4</v>
      </c>
      <c r="AD9" s="142">
        <v>361</v>
      </c>
      <c r="AE9" s="145">
        <f>278964/824.62</f>
        <v>338.29400208580921</v>
      </c>
      <c r="AF9" s="119">
        <v>40.28</v>
      </c>
      <c r="AG9" s="106">
        <v>224677</v>
      </c>
      <c r="AH9" s="106">
        <v>5578</v>
      </c>
      <c r="AI9" s="106">
        <v>4</v>
      </c>
      <c r="AJ9" s="120">
        <v>3</v>
      </c>
    </row>
    <row r="10" spans="1:38" ht="16.5" customHeight="1" x14ac:dyDescent="0.2">
      <c r="A10" s="121" t="s">
        <v>147</v>
      </c>
      <c r="B10" s="122">
        <v>226541</v>
      </c>
      <c r="C10" s="123">
        <v>1293</v>
      </c>
      <c r="D10" s="124">
        <f>B10/228622*100-100</f>
        <v>-0.91023611026061246</v>
      </c>
      <c r="E10" s="124">
        <f>26228/B10*100</f>
        <v>11.577595225588304</v>
      </c>
      <c r="F10" s="124">
        <f>131196/B10*100</f>
        <v>57.912695715124421</v>
      </c>
      <c r="G10" s="124">
        <f>69117/B10*100</f>
        <v>30.509709059287282</v>
      </c>
      <c r="H10" s="125">
        <f t="shared" ref="H10" si="0">I10-J10</f>
        <v>-1417</v>
      </c>
      <c r="I10" s="125">
        <v>1466</v>
      </c>
      <c r="J10" s="125">
        <v>2883</v>
      </c>
      <c r="K10" s="126">
        <v>1.35</v>
      </c>
      <c r="L10" s="122">
        <f t="shared" ref="L10" si="1">M10-N10</f>
        <v>-813</v>
      </c>
      <c r="M10" s="125">
        <v>6800</v>
      </c>
      <c r="N10" s="125">
        <v>7613</v>
      </c>
      <c r="O10" s="125">
        <v>108889</v>
      </c>
      <c r="P10" s="127">
        <f>O10/108405*100-100</f>
        <v>0.4464738711314169</v>
      </c>
      <c r="Q10" s="125">
        <v>231257</v>
      </c>
      <c r="R10" s="128">
        <v>104.6</v>
      </c>
      <c r="S10" s="129">
        <v>61.2</v>
      </c>
      <c r="T10" s="130">
        <v>305.56</v>
      </c>
      <c r="U10" s="124">
        <v>58.36</v>
      </c>
      <c r="V10" s="131">
        <v>84.87</v>
      </c>
      <c r="W10" s="124">
        <v>3363.16</v>
      </c>
      <c r="X10" s="131">
        <v>155.88999999999999</v>
      </c>
      <c r="Y10" s="124" t="s">
        <v>143</v>
      </c>
      <c r="Z10" s="132">
        <v>91.31</v>
      </c>
      <c r="AA10" s="146">
        <v>43190</v>
      </c>
      <c r="AB10" s="124">
        <v>2583</v>
      </c>
      <c r="AC10" s="134">
        <v>3</v>
      </c>
      <c r="AD10" s="132">
        <v>232</v>
      </c>
      <c r="AE10" s="147">
        <v>741</v>
      </c>
      <c r="AF10" s="136">
        <v>47.65</v>
      </c>
      <c r="AG10" s="125">
        <v>156053</v>
      </c>
      <c r="AH10" s="125">
        <v>3275</v>
      </c>
      <c r="AI10" s="125">
        <v>2</v>
      </c>
      <c r="AJ10" s="148" t="s">
        <v>143</v>
      </c>
    </row>
    <row r="11" spans="1:38" ht="15.9" customHeight="1" x14ac:dyDescent="0.2">
      <c r="A11" s="102" t="s">
        <v>148</v>
      </c>
      <c r="B11" s="103">
        <v>287326</v>
      </c>
      <c r="C11" s="104">
        <v>1681</v>
      </c>
      <c r="D11" s="105">
        <v>-0.51589939615533353</v>
      </c>
      <c r="E11" s="105">
        <v>12.27</v>
      </c>
      <c r="F11" s="105">
        <v>60.18</v>
      </c>
      <c r="G11" s="105">
        <v>27.55</v>
      </c>
      <c r="H11" s="138">
        <v>-1109</v>
      </c>
      <c r="I11" s="106">
        <v>2014</v>
      </c>
      <c r="J11" s="106">
        <v>3123</v>
      </c>
      <c r="K11" s="107">
        <v>1.42</v>
      </c>
      <c r="L11" s="139">
        <v>-556</v>
      </c>
      <c r="M11" s="106">
        <v>11693</v>
      </c>
      <c r="N11" s="106">
        <v>12249</v>
      </c>
      <c r="O11" s="106">
        <v>136198</v>
      </c>
      <c r="P11" s="109">
        <v>0.63</v>
      </c>
      <c r="Q11" s="106">
        <v>297631</v>
      </c>
      <c r="R11" s="110">
        <v>105.74</v>
      </c>
      <c r="S11" s="140">
        <v>87.5</v>
      </c>
      <c r="T11" s="112">
        <v>886.47</v>
      </c>
      <c r="U11" s="105">
        <v>52.3</v>
      </c>
      <c r="V11" s="141">
        <v>86.9</v>
      </c>
      <c r="W11" s="105">
        <v>4774.1000000000004</v>
      </c>
      <c r="X11" s="141">
        <v>393.4</v>
      </c>
      <c r="Y11" s="105">
        <v>0</v>
      </c>
      <c r="Z11" s="142">
        <v>440.77</v>
      </c>
      <c r="AA11" s="149">
        <v>43921</v>
      </c>
      <c r="AB11" s="105">
        <v>2278</v>
      </c>
      <c r="AC11" s="144">
        <v>6</v>
      </c>
      <c r="AD11" s="142">
        <v>356</v>
      </c>
      <c r="AE11" s="145">
        <v>324.12</v>
      </c>
      <c r="AF11" s="119">
        <v>41.94</v>
      </c>
      <c r="AG11" s="106">
        <v>237280</v>
      </c>
      <c r="AH11" s="106">
        <v>5657.61</v>
      </c>
      <c r="AI11" s="106">
        <v>2</v>
      </c>
      <c r="AJ11" s="120">
        <v>2</v>
      </c>
    </row>
    <row r="12" spans="1:38" ht="15.9" customHeight="1" x14ac:dyDescent="0.2">
      <c r="A12" s="121" t="s">
        <v>149</v>
      </c>
      <c r="B12" s="150">
        <v>306265</v>
      </c>
      <c r="C12" s="151">
        <v>1395</v>
      </c>
      <c r="D12" s="152">
        <f>ROUND(($B$12-308163)/$B$12*100,1)</f>
        <v>-0.6</v>
      </c>
      <c r="E12" s="153">
        <f>34418/$B$12*100</f>
        <v>11.237980180562584</v>
      </c>
      <c r="F12" s="154">
        <f>177004/$B$12*100</f>
        <v>57.794393743979889</v>
      </c>
      <c r="G12" s="154">
        <f>94843/$B$12*100</f>
        <v>30.967626075457527</v>
      </c>
      <c r="H12" s="125">
        <f t="shared" ref="H12" si="2">I12-J12</f>
        <v>-1904</v>
      </c>
      <c r="I12" s="151">
        <v>1803</v>
      </c>
      <c r="J12" s="155">
        <v>3707</v>
      </c>
      <c r="K12" s="156">
        <v>1.26</v>
      </c>
      <c r="L12" s="122">
        <f t="shared" ref="L12:L20" si="3">M12-N12</f>
        <v>-411</v>
      </c>
      <c r="M12" s="151">
        <v>9118</v>
      </c>
      <c r="N12" s="151">
        <v>9529</v>
      </c>
      <c r="O12" s="157">
        <v>144725</v>
      </c>
      <c r="P12" s="158">
        <f>ROUND(($O$12-144189)/$O$12*100,1)</f>
        <v>0.4</v>
      </c>
      <c r="Q12" s="151">
        <v>315814</v>
      </c>
      <c r="R12" s="158">
        <v>104.4</v>
      </c>
      <c r="S12" s="159">
        <v>78.599999999999994</v>
      </c>
      <c r="T12" s="160">
        <v>906.07</v>
      </c>
      <c r="U12" s="161">
        <v>75.86</v>
      </c>
      <c r="V12" s="162">
        <v>91.58</v>
      </c>
      <c r="W12" s="162">
        <v>3635.27</v>
      </c>
      <c r="X12" s="162">
        <v>338.51</v>
      </c>
      <c r="Y12" s="163" t="s">
        <v>143</v>
      </c>
      <c r="Z12" s="164">
        <v>491.7</v>
      </c>
      <c r="AA12" s="133">
        <v>43189</v>
      </c>
      <c r="AB12" s="162">
        <v>3009</v>
      </c>
      <c r="AC12" s="165">
        <v>6</v>
      </c>
      <c r="AD12" s="164">
        <v>630</v>
      </c>
      <c r="AE12" s="166">
        <f>ROUND(B12/T12,0)</f>
        <v>338</v>
      </c>
      <c r="AF12" s="167">
        <v>54.76</v>
      </c>
      <c r="AG12" s="151">
        <v>250569</v>
      </c>
      <c r="AH12" s="151">
        <v>4575.8</v>
      </c>
      <c r="AI12" s="151">
        <v>5</v>
      </c>
      <c r="AJ12" s="168">
        <v>2</v>
      </c>
    </row>
    <row r="13" spans="1:38" ht="15.9" customHeight="1" x14ac:dyDescent="0.2">
      <c r="A13" s="169" t="s">
        <v>150</v>
      </c>
      <c r="B13" s="139">
        <v>243864</v>
      </c>
      <c r="C13" s="170">
        <v>1452</v>
      </c>
      <c r="D13" s="171">
        <v>-0.8</v>
      </c>
      <c r="E13" s="172">
        <v>13</v>
      </c>
      <c r="F13" s="173">
        <v>59</v>
      </c>
      <c r="G13" s="173">
        <v>28</v>
      </c>
      <c r="H13" s="138">
        <v>-1279</v>
      </c>
      <c r="I13" s="138">
        <v>1661</v>
      </c>
      <c r="J13" s="174">
        <v>2940</v>
      </c>
      <c r="K13" s="107">
        <v>1.26</v>
      </c>
      <c r="L13" s="139">
        <f t="shared" si="3"/>
        <v>-561</v>
      </c>
      <c r="M13" s="138">
        <v>8035</v>
      </c>
      <c r="N13" s="138">
        <v>8596</v>
      </c>
      <c r="O13" s="170">
        <v>103405</v>
      </c>
      <c r="P13" s="175">
        <v>0.5</v>
      </c>
      <c r="Q13" s="138">
        <v>253832</v>
      </c>
      <c r="R13" s="175">
        <v>106.8</v>
      </c>
      <c r="S13" s="176">
        <v>87.2</v>
      </c>
      <c r="T13" s="177">
        <v>381.58</v>
      </c>
      <c r="U13" s="178">
        <v>40.93</v>
      </c>
      <c r="V13" s="179">
        <v>74.86</v>
      </c>
      <c r="W13" s="171">
        <v>4460.2700000000004</v>
      </c>
      <c r="X13" s="179">
        <v>118.97</v>
      </c>
      <c r="Y13" s="138" t="s">
        <v>143</v>
      </c>
      <c r="Z13" s="180">
        <v>221.68</v>
      </c>
      <c r="AA13" s="181" t="s">
        <v>143</v>
      </c>
      <c r="AB13" s="138" t="s">
        <v>143</v>
      </c>
      <c r="AC13" s="182" t="s">
        <v>143</v>
      </c>
      <c r="AD13" s="176" t="s">
        <v>143</v>
      </c>
      <c r="AE13" s="183">
        <v>639</v>
      </c>
      <c r="AF13" s="184">
        <v>33</v>
      </c>
      <c r="AG13" s="138">
        <v>180878</v>
      </c>
      <c r="AH13" s="138">
        <v>5481</v>
      </c>
      <c r="AI13" s="138">
        <v>6</v>
      </c>
      <c r="AJ13" s="185">
        <v>2</v>
      </c>
    </row>
    <row r="14" spans="1:38" ht="15.9" customHeight="1" x14ac:dyDescent="0.2">
      <c r="A14" s="121" t="s">
        <v>151</v>
      </c>
      <c r="B14" s="186">
        <v>276006</v>
      </c>
      <c r="C14" s="187">
        <v>1997</v>
      </c>
      <c r="D14" s="162">
        <v>-0.6</v>
      </c>
      <c r="E14" s="188">
        <v>11.5</v>
      </c>
      <c r="F14" s="189">
        <v>58.6</v>
      </c>
      <c r="G14" s="189">
        <v>29.9</v>
      </c>
      <c r="H14" s="125">
        <f t="shared" ref="H14:H68" si="4">I14-J14</f>
        <v>-1654</v>
      </c>
      <c r="I14" s="163">
        <v>1753</v>
      </c>
      <c r="J14" s="190">
        <v>3407</v>
      </c>
      <c r="K14" s="1012">
        <v>1.28</v>
      </c>
      <c r="L14" s="122">
        <f t="shared" si="3"/>
        <v>-466</v>
      </c>
      <c r="M14" s="163">
        <v>9069</v>
      </c>
      <c r="N14" s="163">
        <v>9535</v>
      </c>
      <c r="O14" s="187">
        <v>123153</v>
      </c>
      <c r="P14" s="191">
        <v>0.6</v>
      </c>
      <c r="Q14" s="163">
        <v>294247</v>
      </c>
      <c r="R14" s="191">
        <v>103.2</v>
      </c>
      <c r="S14" s="159">
        <v>75.16</v>
      </c>
      <c r="T14" s="160">
        <v>767.72</v>
      </c>
      <c r="U14" s="161">
        <v>50.4</v>
      </c>
      <c r="V14" s="192">
        <v>76.8</v>
      </c>
      <c r="W14" s="162">
        <v>4200.8</v>
      </c>
      <c r="X14" s="192">
        <v>178.31</v>
      </c>
      <c r="Y14" s="163" t="s">
        <v>143</v>
      </c>
      <c r="Z14" s="164">
        <v>539</v>
      </c>
      <c r="AA14" s="133">
        <v>43553</v>
      </c>
      <c r="AB14" s="162">
        <v>4596</v>
      </c>
      <c r="AC14" s="165">
        <v>1</v>
      </c>
      <c r="AD14" s="164">
        <v>333</v>
      </c>
      <c r="AE14" s="193">
        <v>360</v>
      </c>
      <c r="AF14" s="194">
        <v>40.01</v>
      </c>
      <c r="AG14" s="163">
        <v>180142</v>
      </c>
      <c r="AH14" s="163">
        <v>4502</v>
      </c>
      <c r="AI14" s="163">
        <v>0</v>
      </c>
      <c r="AJ14" s="195">
        <v>1</v>
      </c>
    </row>
    <row r="15" spans="1:38" ht="15.9" customHeight="1" x14ac:dyDescent="0.2">
      <c r="A15" s="169" t="s">
        <v>153</v>
      </c>
      <c r="B15" s="139">
        <v>321905</v>
      </c>
      <c r="C15" s="170">
        <v>2999</v>
      </c>
      <c r="D15" s="171">
        <v>-0.3</v>
      </c>
      <c r="E15" s="171">
        <v>12.5</v>
      </c>
      <c r="F15" s="171">
        <v>61.2</v>
      </c>
      <c r="G15" s="171">
        <v>26.3</v>
      </c>
      <c r="H15" s="138">
        <f t="shared" si="4"/>
        <v>-1050</v>
      </c>
      <c r="I15" s="138">
        <v>2311</v>
      </c>
      <c r="J15" s="138">
        <v>3361</v>
      </c>
      <c r="K15" s="107">
        <v>1.39</v>
      </c>
      <c r="L15" s="139">
        <f t="shared" si="3"/>
        <v>30</v>
      </c>
      <c r="M15" s="138">
        <v>11394</v>
      </c>
      <c r="N15" s="138">
        <v>11364</v>
      </c>
      <c r="O15" s="138">
        <v>141989</v>
      </c>
      <c r="P15" s="196">
        <v>1</v>
      </c>
      <c r="Q15" s="138">
        <v>335444</v>
      </c>
      <c r="R15" s="175">
        <v>105.1</v>
      </c>
      <c r="S15" s="197">
        <v>61</v>
      </c>
      <c r="T15" s="177">
        <v>757.2</v>
      </c>
      <c r="U15" s="171">
        <v>68.863</v>
      </c>
      <c r="V15" s="179">
        <v>80.2</v>
      </c>
      <c r="W15" s="171">
        <v>3737.6</v>
      </c>
      <c r="X15" s="179">
        <v>201.4</v>
      </c>
      <c r="Y15" s="171" t="s">
        <v>143</v>
      </c>
      <c r="Z15" s="180">
        <v>486.96499999999997</v>
      </c>
      <c r="AA15" s="198">
        <v>43555</v>
      </c>
      <c r="AB15" s="171">
        <v>2300</v>
      </c>
      <c r="AC15" s="182">
        <v>4</v>
      </c>
      <c r="AD15" s="180">
        <v>694</v>
      </c>
      <c r="AE15" s="183">
        <v>425.12</v>
      </c>
      <c r="AF15" s="184">
        <v>47.77</v>
      </c>
      <c r="AG15" s="138">
        <v>240314</v>
      </c>
      <c r="AH15" s="138">
        <v>5031</v>
      </c>
      <c r="AI15" s="138">
        <v>1</v>
      </c>
      <c r="AJ15" s="185">
        <v>4</v>
      </c>
    </row>
    <row r="16" spans="1:38" ht="15.9" customHeight="1" x14ac:dyDescent="0.2">
      <c r="A16" s="121" t="s">
        <v>154</v>
      </c>
      <c r="B16" s="186">
        <v>319596</v>
      </c>
      <c r="C16" s="187">
        <v>2919</v>
      </c>
      <c r="D16" s="162">
        <v>-0.9</v>
      </c>
      <c r="E16" s="188">
        <v>11.7</v>
      </c>
      <c r="F16" s="189">
        <v>57.6</v>
      </c>
      <c r="G16" s="189">
        <v>30.7</v>
      </c>
      <c r="H16" s="125">
        <f t="shared" si="4"/>
        <v>-2192</v>
      </c>
      <c r="I16" s="163">
        <v>1994</v>
      </c>
      <c r="J16" s="163">
        <v>4186</v>
      </c>
      <c r="K16" s="199">
        <v>1.42</v>
      </c>
      <c r="L16" s="122">
        <f t="shared" si="3"/>
        <v>-401</v>
      </c>
      <c r="M16" s="163">
        <v>8278</v>
      </c>
      <c r="N16" s="163">
        <v>8679</v>
      </c>
      <c r="O16" s="163">
        <v>146186</v>
      </c>
      <c r="P16" s="200">
        <v>0.4</v>
      </c>
      <c r="Q16" s="163">
        <v>350237</v>
      </c>
      <c r="R16" s="191">
        <v>98.3</v>
      </c>
      <c r="S16" s="159">
        <v>76</v>
      </c>
      <c r="T16" s="160">
        <v>1232.02</v>
      </c>
      <c r="U16" s="162">
        <v>101.01</v>
      </c>
      <c r="V16" s="192">
        <v>79.599999999999994</v>
      </c>
      <c r="W16" s="162">
        <v>2662.9</v>
      </c>
      <c r="X16" s="192">
        <v>275.16000000000003</v>
      </c>
      <c r="Y16" s="163" t="s">
        <v>143</v>
      </c>
      <c r="Z16" s="164">
        <v>855.8</v>
      </c>
      <c r="AA16" s="133">
        <v>43746</v>
      </c>
      <c r="AB16" s="162">
        <v>4079.6</v>
      </c>
      <c r="AC16" s="165">
        <v>8</v>
      </c>
      <c r="AD16" s="164">
        <v>580.29999999999995</v>
      </c>
      <c r="AE16" s="193">
        <v>259</v>
      </c>
      <c r="AF16" s="194">
        <v>46.46</v>
      </c>
      <c r="AG16" s="163">
        <v>173057</v>
      </c>
      <c r="AH16" s="163">
        <v>3724.9</v>
      </c>
      <c r="AI16" s="163">
        <v>3</v>
      </c>
      <c r="AJ16" s="195">
        <v>2</v>
      </c>
    </row>
    <row r="17" spans="1:36" ht="15.9" customHeight="1" x14ac:dyDescent="0.2">
      <c r="A17" s="169" t="s">
        <v>155</v>
      </c>
      <c r="B17" s="139">
        <v>271164</v>
      </c>
      <c r="C17" s="170">
        <v>3603</v>
      </c>
      <c r="D17" s="171">
        <v>-0.21380338184695211</v>
      </c>
      <c r="E17" s="171">
        <v>12.9</v>
      </c>
      <c r="F17" s="171">
        <v>60.73</v>
      </c>
      <c r="G17" s="171">
        <v>26.36</v>
      </c>
      <c r="H17" s="138">
        <f t="shared" si="4"/>
        <v>-718</v>
      </c>
      <c r="I17" s="138">
        <v>2129</v>
      </c>
      <c r="J17" s="138">
        <v>2847</v>
      </c>
      <c r="K17" s="107">
        <v>1.5</v>
      </c>
      <c r="L17" s="139">
        <f t="shared" si="3"/>
        <v>145</v>
      </c>
      <c r="M17" s="138">
        <v>11723</v>
      </c>
      <c r="N17" s="138">
        <v>11578</v>
      </c>
      <c r="O17" s="138">
        <v>126677</v>
      </c>
      <c r="P17" s="196">
        <v>1.0014271932132577</v>
      </c>
      <c r="Q17" s="138">
        <v>270783</v>
      </c>
      <c r="R17" s="175">
        <v>111.3</v>
      </c>
      <c r="S17" s="197">
        <v>56.7</v>
      </c>
      <c r="T17" s="177">
        <v>217.32</v>
      </c>
      <c r="U17" s="171">
        <v>42.51</v>
      </c>
      <c r="V17" s="179">
        <v>73.128</v>
      </c>
      <c r="W17" s="171">
        <v>4628.8469999999998</v>
      </c>
      <c r="X17" s="179">
        <v>174.81</v>
      </c>
      <c r="Y17" s="171" t="s">
        <v>143</v>
      </c>
      <c r="Z17" s="180" t="s">
        <v>143</v>
      </c>
      <c r="AA17" s="201" t="s">
        <v>156</v>
      </c>
      <c r="AB17" s="171">
        <v>2741.4</v>
      </c>
      <c r="AC17" s="182">
        <v>5</v>
      </c>
      <c r="AD17" s="180">
        <v>464.8</v>
      </c>
      <c r="AE17" s="183">
        <v>1247.7</v>
      </c>
      <c r="AF17" s="184">
        <v>34.68</v>
      </c>
      <c r="AG17" s="138">
        <v>172333</v>
      </c>
      <c r="AH17" s="138">
        <v>4969.2</v>
      </c>
      <c r="AI17" s="138">
        <v>2</v>
      </c>
      <c r="AJ17" s="185">
        <v>3</v>
      </c>
    </row>
    <row r="18" spans="1:36" ht="15.9" customHeight="1" x14ac:dyDescent="0.2">
      <c r="A18" s="121" t="s">
        <v>157</v>
      </c>
      <c r="B18" s="186">
        <v>520396</v>
      </c>
      <c r="C18" s="187">
        <v>9648</v>
      </c>
      <c r="D18" s="162">
        <v>-0.11612261780687562</v>
      </c>
      <c r="E18" s="162">
        <v>13.3</v>
      </c>
      <c r="F18" s="162">
        <v>61.5</v>
      </c>
      <c r="G18" s="162">
        <v>25.2</v>
      </c>
      <c r="H18" s="125">
        <f t="shared" si="4"/>
        <v>-730</v>
      </c>
      <c r="I18" s="163">
        <v>4034</v>
      </c>
      <c r="J18" s="163">
        <v>4764</v>
      </c>
      <c r="K18" s="199">
        <v>1.49</v>
      </c>
      <c r="L18" s="186">
        <f t="shared" si="3"/>
        <v>-204</v>
      </c>
      <c r="M18" s="163">
        <v>20051</v>
      </c>
      <c r="N18" s="163">
        <v>20255</v>
      </c>
      <c r="O18" s="163">
        <v>236644</v>
      </c>
      <c r="P18" s="200">
        <v>0.84075152021340516</v>
      </c>
      <c r="Q18" s="163">
        <v>518594</v>
      </c>
      <c r="R18" s="191">
        <v>103.7</v>
      </c>
      <c r="S18" s="202">
        <v>65.099999999999994</v>
      </c>
      <c r="T18" s="160">
        <v>416.85</v>
      </c>
      <c r="U18" s="162">
        <v>93.4</v>
      </c>
      <c r="V18" s="192">
        <v>83.6</v>
      </c>
      <c r="W18" s="162">
        <v>4642.2</v>
      </c>
      <c r="X18" s="192">
        <v>323.39999999999998</v>
      </c>
      <c r="Y18" s="162" t="s">
        <v>143</v>
      </c>
      <c r="Z18" s="164" t="s">
        <v>143</v>
      </c>
      <c r="AA18" s="133">
        <v>43553</v>
      </c>
      <c r="AB18" s="162">
        <v>4672</v>
      </c>
      <c r="AC18" s="165">
        <v>10</v>
      </c>
      <c r="AD18" s="164">
        <v>1734</v>
      </c>
      <c r="AE18" s="193">
        <v>1248.4011035144536</v>
      </c>
      <c r="AF18" s="194">
        <v>71.459999999999994</v>
      </c>
      <c r="AG18" s="163">
        <v>385594</v>
      </c>
      <c r="AH18" s="163">
        <v>5395.9</v>
      </c>
      <c r="AI18" s="163">
        <v>5</v>
      </c>
      <c r="AJ18" s="195" t="s">
        <v>143</v>
      </c>
    </row>
    <row r="19" spans="1:36" ht="15.9" customHeight="1" x14ac:dyDescent="0.2">
      <c r="A19" s="169" t="s">
        <v>158</v>
      </c>
      <c r="B19" s="139">
        <v>335360</v>
      </c>
      <c r="C19" s="170">
        <v>7320</v>
      </c>
      <c r="D19" s="171">
        <v>-0.4</v>
      </c>
      <c r="E19" s="171">
        <v>12.1</v>
      </c>
      <c r="F19" s="171">
        <v>58.7</v>
      </c>
      <c r="G19" s="171">
        <v>29.2</v>
      </c>
      <c r="H19" s="138">
        <f t="shared" si="4"/>
        <v>-1721</v>
      </c>
      <c r="I19" s="138">
        <v>2212</v>
      </c>
      <c r="J19" s="138">
        <v>3933</v>
      </c>
      <c r="K19" s="107">
        <v>1.4</v>
      </c>
      <c r="L19" s="139">
        <f t="shared" si="3"/>
        <v>793</v>
      </c>
      <c r="M19" s="138">
        <v>12151</v>
      </c>
      <c r="N19" s="138">
        <v>11358</v>
      </c>
      <c r="O19" s="138">
        <v>150328</v>
      </c>
      <c r="P19" s="196">
        <v>0.9</v>
      </c>
      <c r="Q19" s="138">
        <v>336154</v>
      </c>
      <c r="R19" s="175">
        <v>104.5</v>
      </c>
      <c r="S19" s="197">
        <v>87.57</v>
      </c>
      <c r="T19" s="177">
        <v>311.58999999999997</v>
      </c>
      <c r="U19" s="171">
        <v>49.41</v>
      </c>
      <c r="V19" s="179">
        <v>71.7</v>
      </c>
      <c r="W19" s="171">
        <v>4016.13</v>
      </c>
      <c r="X19" s="179">
        <v>97.93</v>
      </c>
      <c r="Y19" s="171">
        <v>106.3</v>
      </c>
      <c r="Z19" s="180">
        <v>57.95</v>
      </c>
      <c r="AA19" s="198">
        <v>43555</v>
      </c>
      <c r="AB19" s="1016">
        <v>2640</v>
      </c>
      <c r="AC19" s="1022">
        <v>7</v>
      </c>
      <c r="AD19" s="1018">
        <v>1130.8</v>
      </c>
      <c r="AE19" s="183">
        <v>1076</v>
      </c>
      <c r="AF19" s="184">
        <v>45.98</v>
      </c>
      <c r="AG19" s="138">
        <v>196540</v>
      </c>
      <c r="AH19" s="138">
        <v>4274</v>
      </c>
      <c r="AI19" s="138">
        <v>3</v>
      </c>
      <c r="AJ19" s="185">
        <v>1</v>
      </c>
    </row>
    <row r="20" spans="1:36" ht="15.9" customHeight="1" x14ac:dyDescent="0.2">
      <c r="A20" s="121" t="s">
        <v>159</v>
      </c>
      <c r="B20" s="186">
        <v>372147</v>
      </c>
      <c r="C20" s="187">
        <v>5897</v>
      </c>
      <c r="D20" s="162">
        <v>-0.32</v>
      </c>
      <c r="E20" s="162">
        <v>12.7</v>
      </c>
      <c r="F20" s="162">
        <v>59.3</v>
      </c>
      <c r="G20" s="162">
        <v>28</v>
      </c>
      <c r="H20" s="125">
        <f t="shared" si="4"/>
        <v>-1476</v>
      </c>
      <c r="I20" s="163">
        <v>2640</v>
      </c>
      <c r="J20" s="163">
        <v>4116</v>
      </c>
      <c r="K20" s="199">
        <v>1.41</v>
      </c>
      <c r="L20" s="122">
        <f t="shared" si="3"/>
        <v>422</v>
      </c>
      <c r="M20" s="163">
        <v>14111</v>
      </c>
      <c r="N20" s="163">
        <v>13689</v>
      </c>
      <c r="O20" s="163">
        <v>166357</v>
      </c>
      <c r="P20" s="200">
        <v>0.85</v>
      </c>
      <c r="Q20" s="163">
        <v>370884</v>
      </c>
      <c r="R20" s="191">
        <v>101.8</v>
      </c>
      <c r="S20" s="202" t="s">
        <v>143</v>
      </c>
      <c r="T20" s="160">
        <v>459.16</v>
      </c>
      <c r="U20" s="162">
        <v>52</v>
      </c>
      <c r="V20" s="192">
        <v>75.3</v>
      </c>
      <c r="W20" s="162">
        <v>4423.8</v>
      </c>
      <c r="X20" s="192">
        <v>84.5</v>
      </c>
      <c r="Y20" s="203" t="s">
        <v>160</v>
      </c>
      <c r="Z20" s="204" t="s">
        <v>161</v>
      </c>
      <c r="AA20" s="205" t="s">
        <v>162</v>
      </c>
      <c r="AB20" s="162">
        <v>2824</v>
      </c>
      <c r="AC20" s="206">
        <v>8</v>
      </c>
      <c r="AD20" s="164">
        <v>674</v>
      </c>
      <c r="AE20" s="193">
        <v>810</v>
      </c>
      <c r="AF20" s="194">
        <v>45.38</v>
      </c>
      <c r="AG20" s="163">
        <v>197792</v>
      </c>
      <c r="AH20" s="163">
        <v>4359</v>
      </c>
      <c r="AI20" s="163">
        <v>5</v>
      </c>
      <c r="AJ20" s="195">
        <v>8</v>
      </c>
    </row>
    <row r="21" spans="1:36" ht="15.9" customHeight="1" x14ac:dyDescent="0.2">
      <c r="A21" s="169" t="s">
        <v>163</v>
      </c>
      <c r="B21" s="139">
        <v>353456</v>
      </c>
      <c r="C21" s="170">
        <v>8870</v>
      </c>
      <c r="D21" s="171">
        <v>0.1</v>
      </c>
      <c r="E21" s="171">
        <v>12.3</v>
      </c>
      <c r="F21" s="171">
        <v>61</v>
      </c>
      <c r="G21" s="171">
        <v>26.7</v>
      </c>
      <c r="H21" s="138">
        <f t="shared" si="4"/>
        <v>-920</v>
      </c>
      <c r="I21" s="138">
        <v>2401</v>
      </c>
      <c r="J21" s="138">
        <v>3321</v>
      </c>
      <c r="K21" s="107">
        <v>1.2</v>
      </c>
      <c r="L21" s="139">
        <f>M21-N21</f>
        <v>1106</v>
      </c>
      <c r="M21" s="138">
        <v>16543</v>
      </c>
      <c r="N21" s="138">
        <v>15437</v>
      </c>
      <c r="O21" s="138">
        <v>160831</v>
      </c>
      <c r="P21" s="196">
        <v>1.3</v>
      </c>
      <c r="Q21" s="138">
        <v>350745</v>
      </c>
      <c r="R21" s="175">
        <v>96.6</v>
      </c>
      <c r="S21" s="197">
        <v>72.66</v>
      </c>
      <c r="T21" s="177">
        <v>109.13</v>
      </c>
      <c r="U21" s="171">
        <v>32.200000000000003</v>
      </c>
      <c r="V21" s="179">
        <v>75.5</v>
      </c>
      <c r="W21" s="171">
        <v>8295.2999999999993</v>
      </c>
      <c r="X21" s="179">
        <v>77</v>
      </c>
      <c r="Y21" s="207" t="s">
        <v>143</v>
      </c>
      <c r="Z21" s="208" t="s">
        <v>143</v>
      </c>
      <c r="AA21" s="209" t="s">
        <v>164</v>
      </c>
      <c r="AB21" s="171" t="s">
        <v>165</v>
      </c>
      <c r="AC21" s="210">
        <v>6</v>
      </c>
      <c r="AD21" s="142">
        <v>709</v>
      </c>
      <c r="AE21" s="183">
        <v>3239</v>
      </c>
      <c r="AF21" s="184">
        <v>34.53</v>
      </c>
      <c r="AG21" s="138">
        <v>280650</v>
      </c>
      <c r="AH21" s="138">
        <v>8128</v>
      </c>
      <c r="AI21" s="138">
        <v>3</v>
      </c>
      <c r="AJ21" s="185">
        <v>3</v>
      </c>
    </row>
    <row r="22" spans="1:36" ht="15.9" customHeight="1" x14ac:dyDescent="0.2">
      <c r="A22" s="121" t="s">
        <v>166</v>
      </c>
      <c r="B22" s="186">
        <v>608390</v>
      </c>
      <c r="C22" s="187">
        <v>39232</v>
      </c>
      <c r="D22" s="162">
        <v>0.6</v>
      </c>
      <c r="E22" s="162">
        <v>12.5</v>
      </c>
      <c r="F22" s="162">
        <v>64.7</v>
      </c>
      <c r="G22" s="162">
        <v>22.8</v>
      </c>
      <c r="H22" s="125">
        <f t="shared" si="4"/>
        <v>-887</v>
      </c>
      <c r="I22" s="163">
        <v>4715</v>
      </c>
      <c r="J22" s="163">
        <v>5602</v>
      </c>
      <c r="K22" s="199">
        <v>1.1299999999999999</v>
      </c>
      <c r="L22" s="186">
        <f t="shared" ref="L22" si="5">M22-N22</f>
        <v>7814</v>
      </c>
      <c r="M22" s="163">
        <v>33866</v>
      </c>
      <c r="N22" s="163">
        <v>26052</v>
      </c>
      <c r="O22" s="163">
        <v>292000</v>
      </c>
      <c r="P22" s="200">
        <v>1.8</v>
      </c>
      <c r="Q22" s="163">
        <v>578112</v>
      </c>
      <c r="R22" s="191">
        <v>82</v>
      </c>
      <c r="S22" s="202">
        <v>58</v>
      </c>
      <c r="T22" s="160">
        <v>61.95</v>
      </c>
      <c r="U22" s="162">
        <v>54.67</v>
      </c>
      <c r="V22" s="162">
        <v>98.8</v>
      </c>
      <c r="W22" s="162">
        <v>10996.4</v>
      </c>
      <c r="X22" s="192">
        <v>7.3</v>
      </c>
      <c r="Y22" s="211" t="s">
        <v>143</v>
      </c>
      <c r="Z22" s="212" t="s">
        <v>143</v>
      </c>
      <c r="AA22" s="213" t="s">
        <v>143</v>
      </c>
      <c r="AB22" s="211" t="s">
        <v>143</v>
      </c>
      <c r="AC22" s="214" t="s">
        <v>143</v>
      </c>
      <c r="AD22" s="212" t="s">
        <v>143</v>
      </c>
      <c r="AE22" s="193">
        <v>9820.7000000000007</v>
      </c>
      <c r="AF22" s="194">
        <v>54.86</v>
      </c>
      <c r="AG22" s="163">
        <v>565380</v>
      </c>
      <c r="AH22" s="163">
        <v>10305.9</v>
      </c>
      <c r="AI22" s="163" t="s">
        <v>143</v>
      </c>
      <c r="AJ22" s="215" t="s">
        <v>143</v>
      </c>
    </row>
    <row r="23" spans="1:36" ht="15.9" customHeight="1" x14ac:dyDescent="0.2">
      <c r="A23" s="169" t="s">
        <v>167</v>
      </c>
      <c r="B23" s="139">
        <v>344682</v>
      </c>
      <c r="C23" s="170">
        <v>7150</v>
      </c>
      <c r="D23" s="171">
        <v>0.378</v>
      </c>
      <c r="E23" s="171">
        <v>12.8</v>
      </c>
      <c r="F23" s="171">
        <v>62.1</v>
      </c>
      <c r="G23" s="171">
        <v>25.1</v>
      </c>
      <c r="H23" s="138">
        <v>-446</v>
      </c>
      <c r="I23" s="138">
        <v>2486</v>
      </c>
      <c r="J23" s="138">
        <v>2932</v>
      </c>
      <c r="K23" s="107">
        <v>1.26</v>
      </c>
      <c r="L23" s="139">
        <v>1403</v>
      </c>
      <c r="M23" s="138">
        <v>13167</v>
      </c>
      <c r="N23" s="138">
        <v>11764</v>
      </c>
      <c r="O23" s="138">
        <v>156453</v>
      </c>
      <c r="P23" s="196">
        <v>1.6</v>
      </c>
      <c r="Q23" s="138">
        <v>337498</v>
      </c>
      <c r="R23" s="175">
        <v>87.32</v>
      </c>
      <c r="S23" s="197">
        <v>62.4</v>
      </c>
      <c r="T23" s="177">
        <v>60.24</v>
      </c>
      <c r="U23" s="171">
        <v>28.7</v>
      </c>
      <c r="V23" s="179">
        <v>82.4</v>
      </c>
      <c r="W23" s="171">
        <v>9682.2000000000007</v>
      </c>
      <c r="X23" s="179">
        <v>31.5</v>
      </c>
      <c r="Y23" s="171" t="s">
        <v>143</v>
      </c>
      <c r="Z23" s="180" t="s">
        <v>143</v>
      </c>
      <c r="AA23" s="198" t="s">
        <v>143</v>
      </c>
      <c r="AB23" s="171" t="s">
        <v>143</v>
      </c>
      <c r="AC23" s="182" t="s">
        <v>143</v>
      </c>
      <c r="AD23" s="180" t="s">
        <v>143</v>
      </c>
      <c r="AE23" s="183">
        <v>5721.8127490039842</v>
      </c>
      <c r="AF23" s="184">
        <v>32.619999999999997</v>
      </c>
      <c r="AG23" s="138">
        <v>304711</v>
      </c>
      <c r="AH23" s="138">
        <v>9341.2323727774383</v>
      </c>
      <c r="AI23" s="138">
        <v>1</v>
      </c>
      <c r="AJ23" s="185" t="s">
        <v>143</v>
      </c>
    </row>
    <row r="24" spans="1:36" ht="15.9" customHeight="1" x14ac:dyDescent="0.2">
      <c r="A24" s="121" t="s">
        <v>168</v>
      </c>
      <c r="B24" s="186">
        <v>643971</v>
      </c>
      <c r="C24" s="187">
        <v>18945</v>
      </c>
      <c r="D24" s="162">
        <v>0.6</v>
      </c>
      <c r="E24" s="162">
        <v>12.8</v>
      </c>
      <c r="F24" s="162">
        <v>63.2</v>
      </c>
      <c r="G24" s="162">
        <v>23.9</v>
      </c>
      <c r="H24" s="125">
        <f t="shared" ref="H24" si="6">I24-J24</f>
        <v>-762</v>
      </c>
      <c r="I24" s="163">
        <v>4617</v>
      </c>
      <c r="J24" s="190">
        <v>5379</v>
      </c>
      <c r="K24" s="216">
        <v>1.25</v>
      </c>
      <c r="L24" s="186">
        <f t="shared" ref="L24" si="7">M24-N24</f>
        <v>2847</v>
      </c>
      <c r="M24" s="163">
        <v>32830</v>
      </c>
      <c r="N24" s="163">
        <v>29983</v>
      </c>
      <c r="O24" s="163">
        <v>307169</v>
      </c>
      <c r="P24" s="200">
        <v>1.4</v>
      </c>
      <c r="Q24" s="163">
        <v>622890</v>
      </c>
      <c r="R24" s="191">
        <v>84.2</v>
      </c>
      <c r="S24" s="202">
        <v>71.34</v>
      </c>
      <c r="T24" s="160">
        <v>85.62</v>
      </c>
      <c r="U24" s="162">
        <v>55.09</v>
      </c>
      <c r="V24" s="192">
        <v>94.574322914158202</v>
      </c>
      <c r="W24" s="162">
        <v>11055.204447513799</v>
      </c>
      <c r="X24" s="192">
        <v>30.55</v>
      </c>
      <c r="Y24" s="162" t="s">
        <v>143</v>
      </c>
      <c r="Z24" s="164" t="s">
        <v>143</v>
      </c>
      <c r="AA24" s="133" t="s">
        <v>169</v>
      </c>
      <c r="AB24" s="162" t="s">
        <v>170</v>
      </c>
      <c r="AC24" s="165" t="s">
        <v>152</v>
      </c>
      <c r="AD24" s="164" t="s">
        <v>152</v>
      </c>
      <c r="AE24" s="193">
        <v>7521.2683950000001</v>
      </c>
      <c r="AF24" s="194">
        <v>58.62</v>
      </c>
      <c r="AG24" s="163">
        <v>597300</v>
      </c>
      <c r="AH24" s="163">
        <v>10189</v>
      </c>
      <c r="AI24" s="217">
        <v>3</v>
      </c>
      <c r="AJ24" s="195" t="s">
        <v>143</v>
      </c>
    </row>
    <row r="25" spans="1:36" ht="15.9" customHeight="1" x14ac:dyDescent="0.2">
      <c r="A25" s="169" t="s">
        <v>171</v>
      </c>
      <c r="B25" s="139">
        <v>426128</v>
      </c>
      <c r="C25" s="170">
        <v>9793</v>
      </c>
      <c r="D25" s="171">
        <v>1</v>
      </c>
      <c r="E25" s="171">
        <v>12.9</v>
      </c>
      <c r="F25" s="171">
        <v>61.3</v>
      </c>
      <c r="G25" s="171">
        <v>25.9</v>
      </c>
      <c r="H25" s="138">
        <f t="shared" ref="H25" si="8">I25-J25</f>
        <v>-519</v>
      </c>
      <c r="I25" s="138">
        <v>3122</v>
      </c>
      <c r="J25" s="138">
        <v>3641</v>
      </c>
      <c r="K25" s="107">
        <v>1.3</v>
      </c>
      <c r="L25" s="139">
        <f t="shared" ref="L25" si="9">M25-N25</f>
        <v>5371</v>
      </c>
      <c r="M25" s="138">
        <v>24637</v>
      </c>
      <c r="N25" s="138">
        <v>19266</v>
      </c>
      <c r="O25" s="138">
        <v>194714</v>
      </c>
      <c r="P25" s="196">
        <v>1</v>
      </c>
      <c r="Q25" s="138">
        <v>413954</v>
      </c>
      <c r="R25" s="175">
        <v>90.4</v>
      </c>
      <c r="S25" s="197">
        <v>64</v>
      </c>
      <c r="T25" s="177">
        <v>114.74</v>
      </c>
      <c r="U25" s="171">
        <v>54.8</v>
      </c>
      <c r="V25" s="179">
        <v>95</v>
      </c>
      <c r="W25" s="179">
        <v>7210.6</v>
      </c>
      <c r="X25" s="179">
        <v>60.1</v>
      </c>
      <c r="Y25" s="171" t="s">
        <v>143</v>
      </c>
      <c r="Z25" s="180" t="s">
        <v>143</v>
      </c>
      <c r="AA25" s="198">
        <v>43192</v>
      </c>
      <c r="AB25" s="171">
        <v>4378</v>
      </c>
      <c r="AC25" s="182">
        <v>18</v>
      </c>
      <c r="AD25" s="180">
        <v>499.7</v>
      </c>
      <c r="AE25" s="183">
        <v>3714</v>
      </c>
      <c r="AF25" s="184">
        <v>39.99</v>
      </c>
      <c r="AG25" s="138">
        <v>365667</v>
      </c>
      <c r="AH25" s="138">
        <v>9144</v>
      </c>
      <c r="AI25" s="138">
        <v>4</v>
      </c>
      <c r="AJ25" s="185">
        <v>3</v>
      </c>
    </row>
    <row r="26" spans="1:36" ht="15.9" customHeight="1" x14ac:dyDescent="0.2">
      <c r="A26" s="121" t="s">
        <v>172</v>
      </c>
      <c r="B26" s="186">
        <v>561622</v>
      </c>
      <c r="C26" s="187">
        <v>13256</v>
      </c>
      <c r="D26" s="162">
        <v>0</v>
      </c>
      <c r="E26" s="162">
        <v>11.5</v>
      </c>
      <c r="F26" s="162">
        <v>61.4</v>
      </c>
      <c r="G26" s="162">
        <v>27</v>
      </c>
      <c r="H26" s="125">
        <v>-2382</v>
      </c>
      <c r="I26" s="163">
        <v>3161</v>
      </c>
      <c r="J26" s="163">
        <v>5543</v>
      </c>
      <c r="K26" s="199">
        <v>1.1499999999999999</v>
      </c>
      <c r="L26" s="186">
        <v>2402</v>
      </c>
      <c r="M26" s="163">
        <v>26808</v>
      </c>
      <c r="N26" s="163">
        <v>24406</v>
      </c>
      <c r="O26" s="163">
        <v>270387</v>
      </c>
      <c r="P26" s="200">
        <v>1</v>
      </c>
      <c r="Q26" s="163">
        <v>577513</v>
      </c>
      <c r="R26" s="191">
        <v>99.8</v>
      </c>
      <c r="S26" s="202">
        <v>55.58</v>
      </c>
      <c r="T26" s="160">
        <v>186.38</v>
      </c>
      <c r="U26" s="162">
        <v>81.5</v>
      </c>
      <c r="V26" s="192" t="s">
        <v>152</v>
      </c>
      <c r="W26" s="162" t="s">
        <v>152</v>
      </c>
      <c r="X26" s="192">
        <v>104.8</v>
      </c>
      <c r="Y26" s="162" t="s">
        <v>143</v>
      </c>
      <c r="Z26" s="164" t="s">
        <v>143</v>
      </c>
      <c r="AA26" s="133">
        <v>44013</v>
      </c>
      <c r="AB26" s="162">
        <v>6563</v>
      </c>
      <c r="AC26" s="165">
        <v>13</v>
      </c>
      <c r="AD26" s="164">
        <v>427</v>
      </c>
      <c r="AE26" s="193">
        <v>3013</v>
      </c>
      <c r="AF26" s="194">
        <v>62.72</v>
      </c>
      <c r="AG26" s="163">
        <v>517284</v>
      </c>
      <c r="AH26" s="163">
        <v>8248</v>
      </c>
      <c r="AI26" s="163">
        <v>4</v>
      </c>
      <c r="AJ26" s="195">
        <v>4</v>
      </c>
    </row>
    <row r="27" spans="1:36" ht="15.9" customHeight="1" x14ac:dyDescent="0.2">
      <c r="A27" s="169" t="s">
        <v>173</v>
      </c>
      <c r="B27" s="139">
        <v>398508</v>
      </c>
      <c r="C27" s="170">
        <v>5947</v>
      </c>
      <c r="D27" s="171">
        <f>(B27-402260)/B27*100</f>
        <v>-0.94151183916006709</v>
      </c>
      <c r="E27" s="171">
        <v>10.8</v>
      </c>
      <c r="F27" s="171">
        <v>57.48</v>
      </c>
      <c r="G27" s="171">
        <v>31.7</v>
      </c>
      <c r="H27" s="138">
        <f t="shared" si="4"/>
        <v>-2710</v>
      </c>
      <c r="I27" s="138">
        <v>2215</v>
      </c>
      <c r="J27" s="138">
        <v>4925</v>
      </c>
      <c r="K27" s="107">
        <v>1.22</v>
      </c>
      <c r="L27" s="139">
        <f t="shared" ref="L27:L66" si="10">M27-N27</f>
        <v>-1236</v>
      </c>
      <c r="M27" s="138">
        <v>14771</v>
      </c>
      <c r="N27" s="138">
        <v>16007</v>
      </c>
      <c r="O27" s="138">
        <v>185079</v>
      </c>
      <c r="P27" s="196">
        <f>(O27-185039)/O27*100</f>
        <v>2.161239254588581E-2</v>
      </c>
      <c r="Q27" s="138">
        <v>406586</v>
      </c>
      <c r="R27" s="175">
        <f>370704/Q27*100</f>
        <v>91.174806805940193</v>
      </c>
      <c r="S27" s="176">
        <v>81.811999999999998</v>
      </c>
      <c r="T27" s="177">
        <v>100.82</v>
      </c>
      <c r="U27" s="171">
        <v>66.27</v>
      </c>
      <c r="V27" s="179">
        <f>398754/Q27*100</f>
        <v>98.073716261750278</v>
      </c>
      <c r="W27" s="171">
        <f>398754/66.23</f>
        <v>6020.7458855503546</v>
      </c>
      <c r="X27" s="179">
        <v>34.549999999999997</v>
      </c>
      <c r="Y27" s="171" t="s">
        <v>143</v>
      </c>
      <c r="Z27" s="180" t="s">
        <v>143</v>
      </c>
      <c r="AA27" s="198">
        <v>43553</v>
      </c>
      <c r="AB27" s="171">
        <v>4860.8</v>
      </c>
      <c r="AC27" s="182">
        <v>16</v>
      </c>
      <c r="AD27" s="180">
        <v>460.6</v>
      </c>
      <c r="AE27" s="183">
        <f>B27/T27</f>
        <v>3952.6681214044834</v>
      </c>
      <c r="AF27" s="184">
        <v>57.53</v>
      </c>
      <c r="AG27" s="138">
        <v>386841</v>
      </c>
      <c r="AH27" s="138">
        <f>AG27/AF27</f>
        <v>6724.1613071440988</v>
      </c>
      <c r="AI27" s="138">
        <v>4</v>
      </c>
      <c r="AJ27" s="185">
        <v>2</v>
      </c>
    </row>
    <row r="28" spans="1:36" ht="15.9" customHeight="1" x14ac:dyDescent="0.2">
      <c r="A28" s="121" t="s">
        <v>174</v>
      </c>
      <c r="B28" s="186">
        <v>414659</v>
      </c>
      <c r="C28" s="187">
        <v>7707</v>
      </c>
      <c r="D28" s="162">
        <v>-0.3</v>
      </c>
      <c r="E28" s="162">
        <v>12</v>
      </c>
      <c r="F28" s="162">
        <v>58.4</v>
      </c>
      <c r="G28" s="162">
        <v>29.6</v>
      </c>
      <c r="H28" s="125">
        <v>-1778</v>
      </c>
      <c r="I28" s="163">
        <v>3014</v>
      </c>
      <c r="J28" s="163">
        <v>4792</v>
      </c>
      <c r="K28" s="199">
        <v>1.54</v>
      </c>
      <c r="L28" s="186">
        <v>309</v>
      </c>
      <c r="M28" s="163">
        <v>13091</v>
      </c>
      <c r="N28" s="163">
        <v>12782</v>
      </c>
      <c r="O28" s="163">
        <v>180388</v>
      </c>
      <c r="P28" s="200">
        <v>1</v>
      </c>
      <c r="Q28" s="163">
        <v>418686</v>
      </c>
      <c r="R28" s="191">
        <v>105.8</v>
      </c>
      <c r="S28" s="202">
        <v>84</v>
      </c>
      <c r="T28" s="160">
        <v>1241.77</v>
      </c>
      <c r="U28" s="162">
        <v>73.638999999999996</v>
      </c>
      <c r="V28" s="192">
        <v>68.400000000000006</v>
      </c>
      <c r="W28" s="162">
        <v>3849.1559999999999</v>
      </c>
      <c r="X28" s="192">
        <v>156.65100000000001</v>
      </c>
      <c r="Y28" s="162">
        <v>130.07</v>
      </c>
      <c r="Z28" s="164">
        <v>881.41</v>
      </c>
      <c r="AA28" s="133">
        <v>43798</v>
      </c>
      <c r="AB28" s="162">
        <v>3922</v>
      </c>
      <c r="AC28" s="165">
        <v>1</v>
      </c>
      <c r="AD28" s="164">
        <v>436</v>
      </c>
      <c r="AE28" s="193">
        <v>334</v>
      </c>
      <c r="AF28" s="194">
        <v>57.89</v>
      </c>
      <c r="AG28" s="163">
        <v>235868</v>
      </c>
      <c r="AH28" s="163">
        <v>4074</v>
      </c>
      <c r="AI28" s="163">
        <v>4</v>
      </c>
      <c r="AJ28" s="195">
        <v>3</v>
      </c>
    </row>
    <row r="29" spans="1:36" ht="15.9" customHeight="1" x14ac:dyDescent="0.2">
      <c r="A29" s="169" t="s">
        <v>175</v>
      </c>
      <c r="B29" s="103">
        <v>450592</v>
      </c>
      <c r="C29" s="104">
        <v>5928</v>
      </c>
      <c r="D29" s="105">
        <v>-0.3</v>
      </c>
      <c r="E29" s="105">
        <v>12.8</v>
      </c>
      <c r="F29" s="105">
        <v>60.5</v>
      </c>
      <c r="G29" s="105">
        <v>26.7</v>
      </c>
      <c r="H29" s="138">
        <f t="shared" ref="H29" si="11">I29-J29</f>
        <v>-1289</v>
      </c>
      <c r="I29" s="106">
        <v>3394</v>
      </c>
      <c r="J29" s="106">
        <v>4683</v>
      </c>
      <c r="K29" s="107">
        <v>1.37</v>
      </c>
      <c r="L29" s="139">
        <f t="shared" ref="L29" si="12">M29-N29</f>
        <v>-203</v>
      </c>
      <c r="M29" s="106">
        <v>17907</v>
      </c>
      <c r="N29" s="106">
        <v>18110</v>
      </c>
      <c r="O29" s="106">
        <v>207891</v>
      </c>
      <c r="P29" s="109">
        <v>-0.8</v>
      </c>
      <c r="Q29" s="106">
        <v>465699</v>
      </c>
      <c r="R29" s="175">
        <v>107.9</v>
      </c>
      <c r="S29" s="140">
        <v>69</v>
      </c>
      <c r="T29" s="112">
        <v>468.4</v>
      </c>
      <c r="U29" s="105">
        <v>86.5</v>
      </c>
      <c r="V29" s="141">
        <v>93.4</v>
      </c>
      <c r="W29" s="171">
        <v>4857</v>
      </c>
      <c r="X29" s="179">
        <v>137</v>
      </c>
      <c r="Y29" s="105">
        <v>0</v>
      </c>
      <c r="Z29" s="142">
        <v>245</v>
      </c>
      <c r="AA29" s="149">
        <v>42825</v>
      </c>
      <c r="AB29" s="105">
        <v>3733</v>
      </c>
      <c r="AC29" s="144">
        <v>3</v>
      </c>
      <c r="AD29" s="142">
        <v>1082</v>
      </c>
      <c r="AE29" s="145">
        <v>961</v>
      </c>
      <c r="AF29" s="119">
        <v>63.18</v>
      </c>
      <c r="AG29" s="106">
        <v>387341</v>
      </c>
      <c r="AH29" s="106">
        <v>6131</v>
      </c>
      <c r="AI29" s="106">
        <v>8</v>
      </c>
      <c r="AJ29" s="120">
        <v>12</v>
      </c>
    </row>
    <row r="30" spans="1:36" ht="15.9" customHeight="1" x14ac:dyDescent="0.2">
      <c r="A30" s="121" t="s">
        <v>176</v>
      </c>
      <c r="B30" s="186">
        <v>261986</v>
      </c>
      <c r="C30" s="187">
        <v>4659</v>
      </c>
      <c r="D30" s="162">
        <v>-0.42699999999999999</v>
      </c>
      <c r="E30" s="162">
        <v>12.939</v>
      </c>
      <c r="F30" s="162">
        <v>58.106000000000002</v>
      </c>
      <c r="G30" s="162">
        <v>28.954999999999998</v>
      </c>
      <c r="H30" s="125">
        <v>-988</v>
      </c>
      <c r="I30" s="163">
        <v>2019</v>
      </c>
      <c r="J30" s="163">
        <v>3007</v>
      </c>
      <c r="K30" s="199">
        <v>1.53</v>
      </c>
      <c r="L30" s="186">
        <v>-263</v>
      </c>
      <c r="M30" s="163">
        <v>8010</v>
      </c>
      <c r="N30" s="163">
        <v>8273</v>
      </c>
      <c r="O30" s="163">
        <v>104511</v>
      </c>
      <c r="P30" s="200">
        <v>1.0429999999999999</v>
      </c>
      <c r="Q30" s="163">
        <v>265904</v>
      </c>
      <c r="R30" s="191">
        <v>110.1</v>
      </c>
      <c r="S30" s="202">
        <v>74.5</v>
      </c>
      <c r="T30" s="160">
        <v>536.41</v>
      </c>
      <c r="U30" s="162">
        <v>46.9</v>
      </c>
      <c r="V30" s="192">
        <v>85.33275355116578</v>
      </c>
      <c r="W30" s="162">
        <v>4398.1430096051226</v>
      </c>
      <c r="X30" s="192">
        <v>131.19999999999999</v>
      </c>
      <c r="Y30" s="162">
        <v>25.6</v>
      </c>
      <c r="Z30" s="164">
        <v>332.8</v>
      </c>
      <c r="AA30" s="218" t="s">
        <v>177</v>
      </c>
      <c r="AB30" s="162">
        <v>3832</v>
      </c>
      <c r="AC30" s="165">
        <v>1</v>
      </c>
      <c r="AD30" s="164">
        <v>601</v>
      </c>
      <c r="AE30" s="193">
        <v>488.40625640834435</v>
      </c>
      <c r="AF30" s="194">
        <v>36.369999999999997</v>
      </c>
      <c r="AG30" s="163">
        <v>177268</v>
      </c>
      <c r="AH30" s="163">
        <v>4874</v>
      </c>
      <c r="AI30" s="163">
        <v>4</v>
      </c>
      <c r="AJ30" s="195">
        <v>2</v>
      </c>
    </row>
    <row r="31" spans="1:36" ht="15.9" customHeight="1" x14ac:dyDescent="0.2">
      <c r="A31" s="169" t="s">
        <v>178</v>
      </c>
      <c r="B31" s="139">
        <v>187171</v>
      </c>
      <c r="C31" s="170">
        <v>5539</v>
      </c>
      <c r="D31" s="171">
        <v>0.4</v>
      </c>
      <c r="E31" s="171">
        <v>11.9</v>
      </c>
      <c r="F31" s="171">
        <v>58.7</v>
      </c>
      <c r="G31" s="171">
        <v>29.4</v>
      </c>
      <c r="H31" s="138">
        <f t="shared" ref="H31" si="13">I31-J31</f>
        <v>-1072</v>
      </c>
      <c r="I31" s="138">
        <v>1213</v>
      </c>
      <c r="J31" s="138">
        <v>2285</v>
      </c>
      <c r="K31" s="107">
        <v>1.35</v>
      </c>
      <c r="L31" s="139">
        <f t="shared" ref="L31" si="14">M31-N31</f>
        <v>296</v>
      </c>
      <c r="M31" s="138">
        <v>8461</v>
      </c>
      <c r="N31" s="138">
        <v>8165</v>
      </c>
      <c r="O31" s="138">
        <v>91013</v>
      </c>
      <c r="P31" s="196">
        <v>0.6</v>
      </c>
      <c r="Q31" s="138">
        <v>193125</v>
      </c>
      <c r="R31" s="175">
        <v>114.2</v>
      </c>
      <c r="S31" s="197">
        <v>70</v>
      </c>
      <c r="T31" s="177">
        <v>212.47</v>
      </c>
      <c r="U31" s="171">
        <v>31.9</v>
      </c>
      <c r="V31" s="179">
        <v>83.13</v>
      </c>
      <c r="W31" s="219">
        <v>4703.2</v>
      </c>
      <c r="X31" s="179">
        <v>46.7</v>
      </c>
      <c r="Y31" s="171">
        <v>14.6</v>
      </c>
      <c r="Z31" s="180">
        <v>119.2</v>
      </c>
      <c r="AA31" s="198">
        <v>43922</v>
      </c>
      <c r="AB31" s="171">
        <v>2475.1</v>
      </c>
      <c r="AC31" s="182">
        <v>5</v>
      </c>
      <c r="AD31" s="180">
        <v>301.3</v>
      </c>
      <c r="AE31" s="183">
        <v>909</v>
      </c>
      <c r="AF31" s="184">
        <v>32.28</v>
      </c>
      <c r="AG31" s="138">
        <v>154036</v>
      </c>
      <c r="AH31" s="138">
        <v>4771.8999999999996</v>
      </c>
      <c r="AI31" s="138">
        <v>5</v>
      </c>
      <c r="AJ31" s="176">
        <v>1</v>
      </c>
    </row>
    <row r="32" spans="1:36" ht="15.9" customHeight="1" x14ac:dyDescent="0.2">
      <c r="A32" s="121" t="s">
        <v>179</v>
      </c>
      <c r="B32" s="186">
        <v>373971</v>
      </c>
      <c r="C32" s="187">
        <v>4051</v>
      </c>
      <c r="D32" s="162">
        <v>-0.6</v>
      </c>
      <c r="E32" s="152">
        <v>12.3691409226919</v>
      </c>
      <c r="F32" s="152">
        <v>57.999684467512203</v>
      </c>
      <c r="G32" s="152">
        <v>29.631174609795902</v>
      </c>
      <c r="H32" s="151">
        <v>-1700</v>
      </c>
      <c r="I32" s="163">
        <v>2647</v>
      </c>
      <c r="J32" s="163">
        <v>4347</v>
      </c>
      <c r="K32" s="199">
        <v>1.55</v>
      </c>
      <c r="L32" s="186">
        <v>-395</v>
      </c>
      <c r="M32" s="163">
        <v>11000</v>
      </c>
      <c r="N32" s="163">
        <v>11395</v>
      </c>
      <c r="O32" s="163">
        <v>161472</v>
      </c>
      <c r="P32" s="200">
        <v>0.5</v>
      </c>
      <c r="Q32" s="163">
        <v>377598</v>
      </c>
      <c r="R32" s="191">
        <v>103.6</v>
      </c>
      <c r="S32" s="202">
        <v>96</v>
      </c>
      <c r="T32" s="160">
        <v>834.81</v>
      </c>
      <c r="U32" s="162">
        <v>59.5</v>
      </c>
      <c r="V32" s="192">
        <v>76.599999999999994</v>
      </c>
      <c r="W32" s="192">
        <v>4814.5</v>
      </c>
      <c r="X32" s="192">
        <v>142.1</v>
      </c>
      <c r="Y32" s="162">
        <v>13.8</v>
      </c>
      <c r="Z32" s="164">
        <v>619.4</v>
      </c>
      <c r="AA32" s="133">
        <v>42825</v>
      </c>
      <c r="AB32" s="162">
        <v>5432</v>
      </c>
      <c r="AC32" s="165">
        <v>4</v>
      </c>
      <c r="AD32" s="164">
        <v>1456</v>
      </c>
      <c r="AE32" s="193">
        <v>448</v>
      </c>
      <c r="AF32" s="194">
        <v>48.87</v>
      </c>
      <c r="AG32" s="163">
        <v>255665</v>
      </c>
      <c r="AH32" s="163">
        <v>5231.5</v>
      </c>
      <c r="AI32" s="163">
        <v>2</v>
      </c>
      <c r="AJ32" s="195" t="s">
        <v>143</v>
      </c>
    </row>
    <row r="33" spans="1:36" ht="15.9" customHeight="1" x14ac:dyDescent="0.2">
      <c r="A33" s="169" t="s">
        <v>180</v>
      </c>
      <c r="B33" s="139">
        <v>237840</v>
      </c>
      <c r="C33" s="170">
        <v>4073</v>
      </c>
      <c r="D33" s="171">
        <v>-0.3</v>
      </c>
      <c r="E33" s="171">
        <v>13</v>
      </c>
      <c r="F33" s="171">
        <v>58.9</v>
      </c>
      <c r="G33" s="171">
        <v>28.1</v>
      </c>
      <c r="H33" s="138">
        <f t="shared" si="4"/>
        <v>-852</v>
      </c>
      <c r="I33" s="138">
        <v>1815</v>
      </c>
      <c r="J33" s="138">
        <v>2667</v>
      </c>
      <c r="K33" s="107">
        <v>1.5</v>
      </c>
      <c r="L33" s="139">
        <f>M33-N33</f>
        <v>79</v>
      </c>
      <c r="M33" s="138">
        <v>9762</v>
      </c>
      <c r="N33" s="138">
        <v>9683</v>
      </c>
      <c r="O33" s="138">
        <v>105936</v>
      </c>
      <c r="P33" s="196">
        <v>0.7</v>
      </c>
      <c r="Q33" s="138">
        <v>243293</v>
      </c>
      <c r="R33" s="175">
        <v>106.6</v>
      </c>
      <c r="S33" s="197">
        <v>77</v>
      </c>
      <c r="T33" s="177">
        <v>978.47</v>
      </c>
      <c r="U33" s="171">
        <v>40.1</v>
      </c>
      <c r="V33" s="179">
        <v>71.099999999999994</v>
      </c>
      <c r="W33" s="219">
        <v>4315.2</v>
      </c>
      <c r="X33" s="179">
        <v>261.8</v>
      </c>
      <c r="Y33" s="171" t="s">
        <v>143</v>
      </c>
      <c r="Z33" s="180">
        <v>676.6</v>
      </c>
      <c r="AA33" s="198">
        <v>42825</v>
      </c>
      <c r="AB33" s="171">
        <v>1984</v>
      </c>
      <c r="AC33" s="182">
        <v>8</v>
      </c>
      <c r="AD33" s="180">
        <v>783</v>
      </c>
      <c r="AE33" s="183">
        <v>243.1</v>
      </c>
      <c r="AF33" s="184">
        <v>31.35</v>
      </c>
      <c r="AG33" s="138">
        <v>146481</v>
      </c>
      <c r="AH33" s="138">
        <v>4672.3999999999996</v>
      </c>
      <c r="AI33" s="138">
        <v>3</v>
      </c>
      <c r="AJ33" s="176">
        <v>4</v>
      </c>
    </row>
    <row r="34" spans="1:36" ht="15.9" customHeight="1" x14ac:dyDescent="0.2">
      <c r="A34" s="121" t="s">
        <v>181</v>
      </c>
      <c r="B34" s="186">
        <v>408109</v>
      </c>
      <c r="C34" s="187">
        <v>9772</v>
      </c>
      <c r="D34" s="162">
        <v>-0.21097304886684684</v>
      </c>
      <c r="E34" s="162">
        <v>12.291814196697452</v>
      </c>
      <c r="F34" s="162">
        <v>59.088135767650307</v>
      </c>
      <c r="G34" s="162">
        <v>28.620050035652238</v>
      </c>
      <c r="H34" s="163">
        <f t="shared" si="4"/>
        <v>-1695</v>
      </c>
      <c r="I34" s="163">
        <v>2904</v>
      </c>
      <c r="J34" s="163">
        <v>4599</v>
      </c>
      <c r="K34" s="199">
        <v>1.44</v>
      </c>
      <c r="L34" s="186">
        <f>M34-N34</f>
        <v>583</v>
      </c>
      <c r="M34" s="163">
        <v>16169</v>
      </c>
      <c r="N34" s="163">
        <v>15586</v>
      </c>
      <c r="O34" s="163">
        <v>181716</v>
      </c>
      <c r="P34" s="200">
        <v>1.0251734566803059</v>
      </c>
      <c r="Q34" s="190">
        <v>406735</v>
      </c>
      <c r="R34" s="162">
        <v>103.8</v>
      </c>
      <c r="S34" s="202">
        <v>63.3</v>
      </c>
      <c r="T34" s="160">
        <v>203.6</v>
      </c>
      <c r="U34" s="162">
        <v>80.3</v>
      </c>
      <c r="V34" s="192">
        <v>92.2</v>
      </c>
      <c r="W34" s="1019">
        <v>4695.24</v>
      </c>
      <c r="X34" s="1020">
        <v>123.3</v>
      </c>
      <c r="Y34" s="162" t="s">
        <v>143</v>
      </c>
      <c r="Z34" s="164" t="s">
        <v>143</v>
      </c>
      <c r="AA34" s="133">
        <v>42825</v>
      </c>
      <c r="AB34" s="162">
        <v>4580</v>
      </c>
      <c r="AC34" s="165">
        <v>13</v>
      </c>
      <c r="AD34" s="164">
        <v>1269</v>
      </c>
      <c r="AE34" s="193">
        <v>2004.4646365422398</v>
      </c>
      <c r="AF34" s="194">
        <v>54.98</v>
      </c>
      <c r="AG34" s="163">
        <v>286484</v>
      </c>
      <c r="AH34" s="163">
        <v>5211</v>
      </c>
      <c r="AI34" s="163">
        <v>6</v>
      </c>
      <c r="AJ34" s="164" t="s">
        <v>143</v>
      </c>
    </row>
    <row r="35" spans="1:36" ht="15.9" customHeight="1" x14ac:dyDescent="0.2">
      <c r="A35" s="169" t="s">
        <v>182</v>
      </c>
      <c r="B35" s="139">
        <v>376141</v>
      </c>
      <c r="C35" s="170">
        <v>19209</v>
      </c>
      <c r="D35" s="171">
        <v>-0.1</v>
      </c>
      <c r="E35" s="171">
        <v>13.3</v>
      </c>
      <c r="F35" s="171">
        <v>61.3</v>
      </c>
      <c r="G35" s="171">
        <v>25.4</v>
      </c>
      <c r="H35" s="138">
        <v>-841</v>
      </c>
      <c r="I35" s="138">
        <v>2764</v>
      </c>
      <c r="J35" s="138">
        <v>3605</v>
      </c>
      <c r="K35" s="107">
        <v>1.47</v>
      </c>
      <c r="L35" s="139">
        <v>1167</v>
      </c>
      <c r="M35" s="138">
        <v>15408</v>
      </c>
      <c r="N35" s="138">
        <v>14241</v>
      </c>
      <c r="O35" s="138">
        <v>160807</v>
      </c>
      <c r="P35" s="196">
        <v>1.4</v>
      </c>
      <c r="Q35" s="138">
        <v>374765</v>
      </c>
      <c r="R35" s="175">
        <v>97.1</v>
      </c>
      <c r="S35" s="176">
        <v>71.2</v>
      </c>
      <c r="T35" s="177">
        <v>261.88</v>
      </c>
      <c r="U35" s="171">
        <v>61.84</v>
      </c>
      <c r="V35" s="179">
        <v>77.3</v>
      </c>
      <c r="W35" s="179">
        <v>4687.8</v>
      </c>
      <c r="X35" s="179">
        <v>200.04</v>
      </c>
      <c r="Y35" s="171" t="s">
        <v>143</v>
      </c>
      <c r="Z35" s="180" t="s">
        <v>143</v>
      </c>
      <c r="AA35" s="198">
        <v>43344</v>
      </c>
      <c r="AB35" s="171">
        <v>4278</v>
      </c>
      <c r="AC35" s="182">
        <v>5</v>
      </c>
      <c r="AD35" s="180">
        <v>424</v>
      </c>
      <c r="AE35" s="183">
        <v>1436</v>
      </c>
      <c r="AF35" s="184">
        <v>44.54</v>
      </c>
      <c r="AG35" s="138">
        <v>265822</v>
      </c>
      <c r="AH35" s="138">
        <v>5968</v>
      </c>
      <c r="AI35" s="138">
        <v>6</v>
      </c>
      <c r="AJ35" s="185">
        <v>0</v>
      </c>
    </row>
    <row r="36" spans="1:36" ht="15.9" customHeight="1" x14ac:dyDescent="0.2">
      <c r="A36" s="121" t="s">
        <v>183</v>
      </c>
      <c r="B36" s="186">
        <v>387106</v>
      </c>
      <c r="C36" s="187">
        <v>12442</v>
      </c>
      <c r="D36" s="162">
        <v>-0.2</v>
      </c>
      <c r="E36" s="162">
        <v>14.3</v>
      </c>
      <c r="F36" s="162">
        <v>62.4</v>
      </c>
      <c r="G36" s="162">
        <v>23.3</v>
      </c>
      <c r="H36" s="163">
        <f t="shared" ref="H36" si="15">I36-J36</f>
        <v>23</v>
      </c>
      <c r="I36" s="163">
        <v>3181</v>
      </c>
      <c r="J36" s="163">
        <v>3158</v>
      </c>
      <c r="K36" s="199">
        <v>1.53</v>
      </c>
      <c r="L36" s="186">
        <f t="shared" ref="L36" si="16">M36-N36</f>
        <v>-74</v>
      </c>
      <c r="M36" s="163">
        <v>16752</v>
      </c>
      <c r="N36" s="163">
        <v>16826</v>
      </c>
      <c r="O36" s="163">
        <v>164390</v>
      </c>
      <c r="P36" s="200">
        <v>0.8</v>
      </c>
      <c r="Q36" s="163">
        <v>381051</v>
      </c>
      <c r="R36" s="191">
        <v>93.5</v>
      </c>
      <c r="S36" s="202">
        <v>88.57</v>
      </c>
      <c r="T36" s="160">
        <v>387.2</v>
      </c>
      <c r="U36" s="162">
        <v>58.53</v>
      </c>
      <c r="V36" s="192">
        <v>86.98</v>
      </c>
      <c r="W36" s="192">
        <v>5708.88</v>
      </c>
      <c r="X36" s="192">
        <v>202.26</v>
      </c>
      <c r="Y36" s="162" t="s">
        <v>143</v>
      </c>
      <c r="Z36" s="164">
        <v>126.41</v>
      </c>
      <c r="AA36" s="133">
        <v>43555</v>
      </c>
      <c r="AB36" s="162">
        <v>5004</v>
      </c>
      <c r="AC36" s="165">
        <v>11</v>
      </c>
      <c r="AD36" s="164">
        <v>771</v>
      </c>
      <c r="AE36" s="193">
        <v>1000</v>
      </c>
      <c r="AF36" s="194">
        <v>50.21</v>
      </c>
      <c r="AG36" s="163">
        <v>289249</v>
      </c>
      <c r="AH36" s="163">
        <v>5761</v>
      </c>
      <c r="AI36" s="163">
        <v>3</v>
      </c>
      <c r="AJ36" s="195">
        <v>6</v>
      </c>
    </row>
    <row r="37" spans="1:36" ht="15.9" customHeight="1" x14ac:dyDescent="0.2">
      <c r="A37" s="169" t="s">
        <v>184</v>
      </c>
      <c r="B37" s="139">
        <v>384790</v>
      </c>
      <c r="C37" s="170">
        <v>6909</v>
      </c>
      <c r="D37" s="171">
        <v>-0.1</v>
      </c>
      <c r="E37" s="171">
        <v>13.1</v>
      </c>
      <c r="F37" s="171">
        <v>60.1</v>
      </c>
      <c r="G37" s="171">
        <v>26.8</v>
      </c>
      <c r="H37" s="138">
        <f>I37-J37</f>
        <v>-1119</v>
      </c>
      <c r="I37" s="138">
        <v>2731</v>
      </c>
      <c r="J37" s="138">
        <v>3850</v>
      </c>
      <c r="K37" s="107">
        <v>1.39</v>
      </c>
      <c r="L37" s="139">
        <f>M37-N37</f>
        <v>738</v>
      </c>
      <c r="M37" s="138">
        <v>12637</v>
      </c>
      <c r="N37" s="138">
        <v>11899</v>
      </c>
      <c r="O37" s="138">
        <v>162551</v>
      </c>
      <c r="P37" s="196">
        <v>1.3</v>
      </c>
      <c r="Q37" s="138">
        <v>380868</v>
      </c>
      <c r="R37" s="175">
        <v>86.4</v>
      </c>
      <c r="S37" s="197">
        <v>78</v>
      </c>
      <c r="T37" s="177">
        <v>113.82</v>
      </c>
      <c r="U37" s="171">
        <v>38.020000000000003</v>
      </c>
      <c r="V37" s="179">
        <v>60.3</v>
      </c>
      <c r="W37" s="179">
        <v>6102.1</v>
      </c>
      <c r="X37" s="179">
        <v>75.8</v>
      </c>
      <c r="Y37" s="171" t="s">
        <v>143</v>
      </c>
      <c r="Z37" s="180" t="s">
        <v>143</v>
      </c>
      <c r="AA37" s="198">
        <v>44044</v>
      </c>
      <c r="AB37" s="171">
        <v>3171.5</v>
      </c>
      <c r="AC37" s="182">
        <v>7</v>
      </c>
      <c r="AD37" s="180">
        <v>438.5</v>
      </c>
      <c r="AE37" s="183">
        <v>3380.68</v>
      </c>
      <c r="AF37" s="184">
        <v>50.52</v>
      </c>
      <c r="AG37" s="138">
        <v>273842</v>
      </c>
      <c r="AH37" s="138">
        <v>5420.5</v>
      </c>
      <c r="AI37" s="138">
        <v>1</v>
      </c>
      <c r="AJ37" s="185" t="s">
        <v>143</v>
      </c>
    </row>
    <row r="38" spans="1:36" ht="15.9" customHeight="1" x14ac:dyDescent="0.2">
      <c r="A38" s="121" t="s">
        <v>185</v>
      </c>
      <c r="B38" s="186">
        <v>424053</v>
      </c>
      <c r="C38" s="187">
        <v>18398</v>
      </c>
      <c r="D38" s="162">
        <v>-0.3</v>
      </c>
      <c r="E38" s="162">
        <v>13.6</v>
      </c>
      <c r="F38" s="162">
        <v>63.3</v>
      </c>
      <c r="G38" s="162">
        <v>23.1</v>
      </c>
      <c r="H38" s="163">
        <v>187</v>
      </c>
      <c r="I38" s="163">
        <v>3393</v>
      </c>
      <c r="J38" s="163">
        <v>3206</v>
      </c>
      <c r="K38" s="199">
        <v>1.52</v>
      </c>
      <c r="L38" s="186">
        <f t="shared" ref="L38:L40" si="17">M38-N38</f>
        <v>-433</v>
      </c>
      <c r="M38" s="163">
        <v>19189</v>
      </c>
      <c r="N38" s="163">
        <v>19622</v>
      </c>
      <c r="O38" s="163">
        <v>182485</v>
      </c>
      <c r="P38" s="200">
        <v>0.59</v>
      </c>
      <c r="Q38" s="163">
        <v>422542</v>
      </c>
      <c r="R38" s="191">
        <v>110.5</v>
      </c>
      <c r="S38" s="159">
        <v>78.790000000000006</v>
      </c>
      <c r="T38" s="160">
        <v>918.32</v>
      </c>
      <c r="U38" s="162">
        <v>52.87</v>
      </c>
      <c r="V38" s="192" t="s">
        <v>152</v>
      </c>
      <c r="W38" s="162" t="s">
        <v>152</v>
      </c>
      <c r="X38" s="192">
        <v>302.8</v>
      </c>
      <c r="Y38" s="162" t="s">
        <v>143</v>
      </c>
      <c r="Z38" s="164">
        <v>562.63</v>
      </c>
      <c r="AA38" s="133">
        <v>43555</v>
      </c>
      <c r="AB38" s="162">
        <v>4170</v>
      </c>
      <c r="AC38" s="165">
        <v>9</v>
      </c>
      <c r="AD38" s="164">
        <v>1478</v>
      </c>
      <c r="AE38" s="193">
        <v>462.056799372</v>
      </c>
      <c r="AF38" s="194">
        <v>41.04</v>
      </c>
      <c r="AG38" s="163">
        <v>244914</v>
      </c>
      <c r="AH38" s="163">
        <v>5967.7</v>
      </c>
      <c r="AI38" s="163">
        <v>4</v>
      </c>
      <c r="AJ38" s="195" t="s">
        <v>143</v>
      </c>
    </row>
    <row r="39" spans="1:36" ht="15.9" customHeight="1" x14ac:dyDescent="0.2">
      <c r="A39" s="169" t="s">
        <v>186</v>
      </c>
      <c r="B39" s="139">
        <v>343550</v>
      </c>
      <c r="C39" s="170">
        <v>4554</v>
      </c>
      <c r="D39" s="171">
        <v>0.2</v>
      </c>
      <c r="E39" s="171">
        <v>13.6</v>
      </c>
      <c r="F39" s="171">
        <v>59.9</v>
      </c>
      <c r="G39" s="171">
        <v>26.5</v>
      </c>
      <c r="H39" s="138">
        <f t="shared" ref="H39:H40" si="18">I39-J39</f>
        <v>-670</v>
      </c>
      <c r="I39" s="138">
        <v>2466</v>
      </c>
      <c r="J39" s="138">
        <v>3136</v>
      </c>
      <c r="K39" s="107">
        <v>1.39</v>
      </c>
      <c r="L39" s="139">
        <f t="shared" si="17"/>
        <v>1479</v>
      </c>
      <c r="M39" s="138">
        <v>13042</v>
      </c>
      <c r="N39" s="138">
        <v>11563</v>
      </c>
      <c r="O39" s="138">
        <v>150703</v>
      </c>
      <c r="P39" s="196">
        <v>1.5</v>
      </c>
      <c r="Q39" s="138">
        <v>340973</v>
      </c>
      <c r="R39" s="175">
        <v>91.1</v>
      </c>
      <c r="S39" s="197">
        <v>57</v>
      </c>
      <c r="T39" s="177">
        <v>464.51</v>
      </c>
      <c r="U39" s="171">
        <v>59.4</v>
      </c>
      <c r="V39" s="179" t="s">
        <v>143</v>
      </c>
      <c r="W39" s="171" t="s">
        <v>143</v>
      </c>
      <c r="X39" s="171">
        <v>269.7</v>
      </c>
      <c r="Y39" s="171" t="s">
        <v>143</v>
      </c>
      <c r="Z39" s="180">
        <v>135.4</v>
      </c>
      <c r="AA39" s="198" t="s">
        <v>143</v>
      </c>
      <c r="AB39" s="171" t="s">
        <v>143</v>
      </c>
      <c r="AC39" s="182" t="s">
        <v>143</v>
      </c>
      <c r="AD39" s="180" t="s">
        <v>143</v>
      </c>
      <c r="AE39" s="183">
        <v>740</v>
      </c>
      <c r="AF39" s="184">
        <v>38.880000000000003</v>
      </c>
      <c r="AG39" s="138">
        <v>268627</v>
      </c>
      <c r="AH39" s="138">
        <v>6909</v>
      </c>
      <c r="AI39" s="138">
        <v>5</v>
      </c>
      <c r="AJ39" s="185" t="s">
        <v>143</v>
      </c>
    </row>
    <row r="40" spans="1:36" ht="15.9" customHeight="1" x14ac:dyDescent="0.2">
      <c r="A40" s="121" t="s">
        <v>187</v>
      </c>
      <c r="B40" s="186">
        <v>408518</v>
      </c>
      <c r="C40" s="187">
        <v>6177</v>
      </c>
      <c r="D40" s="162">
        <v>0.6</v>
      </c>
      <c r="E40" s="162">
        <v>13.7</v>
      </c>
      <c r="F40" s="162">
        <v>60.6</v>
      </c>
      <c r="G40" s="162">
        <v>25.7</v>
      </c>
      <c r="H40" s="163">
        <f t="shared" si="18"/>
        <v>-354</v>
      </c>
      <c r="I40" s="163">
        <v>3387</v>
      </c>
      <c r="J40" s="163">
        <v>3741</v>
      </c>
      <c r="K40" s="199">
        <v>1.45</v>
      </c>
      <c r="L40" s="186">
        <f t="shared" si="17"/>
        <v>2225</v>
      </c>
      <c r="M40" s="163">
        <v>21969</v>
      </c>
      <c r="N40" s="163">
        <v>19744</v>
      </c>
      <c r="O40" s="163">
        <v>193449</v>
      </c>
      <c r="P40" s="200">
        <v>1.3</v>
      </c>
      <c r="Q40" s="163">
        <v>395479</v>
      </c>
      <c r="R40" s="191">
        <v>88.5</v>
      </c>
      <c r="S40" s="202">
        <v>39.1</v>
      </c>
      <c r="T40" s="160">
        <v>36.6</v>
      </c>
      <c r="U40" s="162">
        <v>36.6</v>
      </c>
      <c r="V40" s="192">
        <v>100</v>
      </c>
      <c r="W40" s="162">
        <v>11161.7</v>
      </c>
      <c r="X40" s="192" t="s">
        <v>143</v>
      </c>
      <c r="Y40" s="162" t="s">
        <v>143</v>
      </c>
      <c r="Z40" s="164" t="s">
        <v>143</v>
      </c>
      <c r="AA40" s="133">
        <v>43466</v>
      </c>
      <c r="AB40" s="162">
        <v>3070.18</v>
      </c>
      <c r="AC40" s="165">
        <v>7</v>
      </c>
      <c r="AD40" s="164">
        <v>863.68</v>
      </c>
      <c r="AE40" s="193">
        <v>11162</v>
      </c>
      <c r="AF40" s="194">
        <v>36.6</v>
      </c>
      <c r="AG40" s="163">
        <v>408518</v>
      </c>
      <c r="AH40" s="163">
        <v>11162</v>
      </c>
      <c r="AI40" s="163">
        <v>1</v>
      </c>
      <c r="AJ40" s="195">
        <v>9</v>
      </c>
    </row>
    <row r="41" spans="1:36" ht="15.9" customHeight="1" x14ac:dyDescent="0.2">
      <c r="A41" s="169" t="s">
        <v>188</v>
      </c>
      <c r="B41" s="139">
        <v>373978</v>
      </c>
      <c r="C41" s="170">
        <v>5597</v>
      </c>
      <c r="D41" s="178">
        <v>0.8</v>
      </c>
      <c r="E41" s="178">
        <v>14</v>
      </c>
      <c r="F41" s="178">
        <v>62.1</v>
      </c>
      <c r="G41" s="178">
        <v>23.8</v>
      </c>
      <c r="H41" s="138">
        <v>-73</v>
      </c>
      <c r="I41" s="138">
        <v>2989</v>
      </c>
      <c r="J41" s="138">
        <v>3062</v>
      </c>
      <c r="K41" s="107">
        <v>1.3065061627473245</v>
      </c>
      <c r="L41" s="139">
        <v>1915</v>
      </c>
      <c r="M41" s="138">
        <v>23016</v>
      </c>
      <c r="N41" s="138">
        <v>21101</v>
      </c>
      <c r="O41" s="138">
        <v>174222</v>
      </c>
      <c r="P41" s="220">
        <v>1.4</v>
      </c>
      <c r="Q41" s="138">
        <v>374468</v>
      </c>
      <c r="R41" s="175">
        <v>96.9</v>
      </c>
      <c r="S41" s="197">
        <v>48.4</v>
      </c>
      <c r="T41" s="177">
        <v>36.090000000000003</v>
      </c>
      <c r="U41" s="171">
        <v>36.090000000000003</v>
      </c>
      <c r="V41" s="179">
        <v>100</v>
      </c>
      <c r="W41" s="171">
        <v>10362</v>
      </c>
      <c r="X41" s="179" t="s">
        <v>143</v>
      </c>
      <c r="Y41" s="171" t="s">
        <v>143</v>
      </c>
      <c r="Z41" s="180" t="s">
        <v>143</v>
      </c>
      <c r="AA41" s="198" t="s">
        <v>189</v>
      </c>
      <c r="AB41" s="1016">
        <v>3296</v>
      </c>
      <c r="AC41" s="182">
        <v>7</v>
      </c>
      <c r="AD41" s="180">
        <v>2388</v>
      </c>
      <c r="AE41" s="183">
        <v>10362</v>
      </c>
      <c r="AF41" s="184">
        <v>36.090000000000003</v>
      </c>
      <c r="AG41" s="138">
        <v>374468</v>
      </c>
      <c r="AH41" s="138">
        <v>10376</v>
      </c>
      <c r="AI41" s="138">
        <v>2</v>
      </c>
      <c r="AJ41" s="185">
        <v>6</v>
      </c>
    </row>
    <row r="42" spans="1:36" ht="15.9" customHeight="1" x14ac:dyDescent="0.2">
      <c r="A42" s="121" t="s">
        <v>190</v>
      </c>
      <c r="B42" s="186">
        <v>351019</v>
      </c>
      <c r="C42" s="187">
        <v>3402</v>
      </c>
      <c r="D42" s="161">
        <v>-0.21</v>
      </c>
      <c r="E42" s="161">
        <v>12.5</v>
      </c>
      <c r="F42" s="161">
        <v>58.4</v>
      </c>
      <c r="G42" s="161">
        <v>29.2</v>
      </c>
      <c r="H42" s="163">
        <f t="shared" ref="H42:H43" si="19">I42-J42</f>
        <v>-862</v>
      </c>
      <c r="I42" s="163">
        <v>2419</v>
      </c>
      <c r="J42" s="163">
        <v>3281</v>
      </c>
      <c r="K42" s="199">
        <v>1.35</v>
      </c>
      <c r="L42" s="186">
        <f t="shared" ref="L42:L43" si="20">M42-N42</f>
        <v>-131</v>
      </c>
      <c r="M42" s="163">
        <v>11308</v>
      </c>
      <c r="N42" s="163">
        <v>11439</v>
      </c>
      <c r="O42" s="163">
        <v>161259</v>
      </c>
      <c r="P42" s="221">
        <v>0.67</v>
      </c>
      <c r="Q42" s="163">
        <v>351829</v>
      </c>
      <c r="R42" s="191">
        <v>87.9</v>
      </c>
      <c r="S42" s="202">
        <v>58.1</v>
      </c>
      <c r="T42" s="160">
        <v>105.29</v>
      </c>
      <c r="U42" s="162">
        <v>33.4</v>
      </c>
      <c r="V42" s="192">
        <v>96.3</v>
      </c>
      <c r="W42" s="162">
        <v>10132.700000000001</v>
      </c>
      <c r="X42" s="192">
        <v>71.900000000000006</v>
      </c>
      <c r="Y42" s="162" t="s">
        <v>143</v>
      </c>
      <c r="Z42" s="164" t="s">
        <v>143</v>
      </c>
      <c r="AA42" s="133">
        <v>42825</v>
      </c>
      <c r="AB42" s="162">
        <v>3098.5</v>
      </c>
      <c r="AC42" s="165">
        <v>14</v>
      </c>
      <c r="AD42" s="164">
        <v>403.9</v>
      </c>
      <c r="AE42" s="193">
        <v>3334</v>
      </c>
      <c r="AF42" s="194">
        <v>33</v>
      </c>
      <c r="AG42" s="163">
        <v>339094</v>
      </c>
      <c r="AH42" s="163">
        <v>10275.6</v>
      </c>
      <c r="AI42" s="163">
        <v>3</v>
      </c>
      <c r="AJ42" s="195">
        <v>2</v>
      </c>
    </row>
    <row r="43" spans="1:36" ht="15.9" customHeight="1" x14ac:dyDescent="0.2">
      <c r="A43" s="169" t="s">
        <v>191</v>
      </c>
      <c r="B43" s="139">
        <v>399953</v>
      </c>
      <c r="C43" s="170">
        <v>4753</v>
      </c>
      <c r="D43" s="178">
        <v>-0.33900000000000002</v>
      </c>
      <c r="E43" s="178">
        <v>12.574999999999999</v>
      </c>
      <c r="F43" s="178">
        <v>59.198</v>
      </c>
      <c r="G43" s="178">
        <v>28.225999999999999</v>
      </c>
      <c r="H43" s="138">
        <f t="shared" si="19"/>
        <v>-1130</v>
      </c>
      <c r="I43" s="138">
        <v>2616</v>
      </c>
      <c r="J43" s="138">
        <v>3746</v>
      </c>
      <c r="K43" s="107">
        <v>1.28</v>
      </c>
      <c r="L43" s="139">
        <f t="shared" si="20"/>
        <v>-307</v>
      </c>
      <c r="M43" s="138">
        <v>13604</v>
      </c>
      <c r="N43" s="138">
        <v>13911</v>
      </c>
      <c r="O43" s="138">
        <v>181180</v>
      </c>
      <c r="P43" s="220">
        <v>0.59599999999999997</v>
      </c>
      <c r="Q43" s="138">
        <v>404152</v>
      </c>
      <c r="R43" s="175">
        <v>88.8</v>
      </c>
      <c r="S43" s="197">
        <v>68.2</v>
      </c>
      <c r="T43" s="177">
        <v>65.12</v>
      </c>
      <c r="U43" s="171">
        <v>41.9</v>
      </c>
      <c r="V43" s="179">
        <v>98.5</v>
      </c>
      <c r="W43" s="171">
        <v>9406.1</v>
      </c>
      <c r="X43" s="179">
        <v>23.2</v>
      </c>
      <c r="Y43" s="171">
        <v>0</v>
      </c>
      <c r="Z43" s="180">
        <v>0</v>
      </c>
      <c r="AA43" s="198">
        <v>42825</v>
      </c>
      <c r="AB43" s="171">
        <v>3595</v>
      </c>
      <c r="AC43" s="182">
        <v>13</v>
      </c>
      <c r="AD43" s="180">
        <v>861</v>
      </c>
      <c r="AE43" s="183">
        <v>6142</v>
      </c>
      <c r="AF43" s="184">
        <v>40.81</v>
      </c>
      <c r="AG43" s="138">
        <v>391023</v>
      </c>
      <c r="AH43" s="138">
        <v>9582</v>
      </c>
      <c r="AI43" s="138">
        <v>3</v>
      </c>
      <c r="AJ43" s="185">
        <v>3</v>
      </c>
    </row>
    <row r="44" spans="1:36" ht="15.9" customHeight="1" x14ac:dyDescent="0.2">
      <c r="A44" s="121" t="s">
        <v>192</v>
      </c>
      <c r="B44" s="186">
        <v>265908</v>
      </c>
      <c r="C44" s="187">
        <v>7908</v>
      </c>
      <c r="D44" s="162">
        <v>-0.3</v>
      </c>
      <c r="E44" s="162">
        <v>12.2</v>
      </c>
      <c r="F44" s="162">
        <v>59.5</v>
      </c>
      <c r="G44" s="162">
        <v>28.3</v>
      </c>
      <c r="H44" s="163">
        <f t="shared" si="4"/>
        <v>-1007</v>
      </c>
      <c r="I44" s="163">
        <v>1933</v>
      </c>
      <c r="J44" s="163">
        <v>2940</v>
      </c>
      <c r="K44" s="199">
        <v>1.37</v>
      </c>
      <c r="L44" s="186">
        <f t="shared" si="10"/>
        <v>-36</v>
      </c>
      <c r="M44" s="163">
        <v>8199</v>
      </c>
      <c r="N44" s="163">
        <v>8235</v>
      </c>
      <c r="O44" s="163">
        <v>125624</v>
      </c>
      <c r="P44" s="200">
        <v>0.9</v>
      </c>
      <c r="Q44" s="163">
        <v>268800</v>
      </c>
      <c r="R44" s="191">
        <v>94.5</v>
      </c>
      <c r="S44" s="202">
        <v>60.45</v>
      </c>
      <c r="T44" s="160">
        <v>41.72</v>
      </c>
      <c r="U44" s="162">
        <v>27.6</v>
      </c>
      <c r="V44" s="192">
        <v>96.9</v>
      </c>
      <c r="W44" s="162">
        <v>9302.6</v>
      </c>
      <c r="X44" s="192">
        <v>14.06</v>
      </c>
      <c r="Y44" s="162">
        <v>0</v>
      </c>
      <c r="Z44" s="164">
        <v>0</v>
      </c>
      <c r="AA44" s="133">
        <v>43189</v>
      </c>
      <c r="AB44" s="162">
        <v>2487.5</v>
      </c>
      <c r="AC44" s="165">
        <v>2</v>
      </c>
      <c r="AD44" s="164">
        <v>2481.9</v>
      </c>
      <c r="AE44" s="193">
        <v>6374</v>
      </c>
      <c r="AF44" s="194">
        <v>31.17</v>
      </c>
      <c r="AG44" s="163">
        <v>264824</v>
      </c>
      <c r="AH44" s="163">
        <v>8496</v>
      </c>
      <c r="AI44" s="163">
        <v>2</v>
      </c>
      <c r="AJ44" s="195">
        <v>4</v>
      </c>
    </row>
    <row r="45" spans="1:36" ht="15.9" customHeight="1" x14ac:dyDescent="0.2">
      <c r="A45" s="169" t="s">
        <v>193</v>
      </c>
      <c r="B45" s="139">
        <v>231189</v>
      </c>
      <c r="C45" s="170">
        <v>3138</v>
      </c>
      <c r="D45" s="171">
        <v>-0.7</v>
      </c>
      <c r="E45" s="171">
        <v>11.5</v>
      </c>
      <c r="F45" s="171">
        <v>58.7</v>
      </c>
      <c r="G45" s="171">
        <v>29.8</v>
      </c>
      <c r="H45" s="138">
        <v>-999</v>
      </c>
      <c r="I45" s="138">
        <v>1451</v>
      </c>
      <c r="J45" s="138">
        <v>2450</v>
      </c>
      <c r="K45" s="107">
        <v>1.3</v>
      </c>
      <c r="L45" s="139">
        <v>-651</v>
      </c>
      <c r="M45" s="138">
        <v>7376</v>
      </c>
      <c r="N45" s="138">
        <v>8027</v>
      </c>
      <c r="O45" s="138">
        <v>110299</v>
      </c>
      <c r="P45" s="196">
        <v>0.5</v>
      </c>
      <c r="Q45" s="138">
        <v>237518</v>
      </c>
      <c r="R45" s="175">
        <v>88.8</v>
      </c>
      <c r="S45" s="222">
        <v>86.3</v>
      </c>
      <c r="T45" s="177">
        <v>24.7</v>
      </c>
      <c r="U45" s="196">
        <v>21.6</v>
      </c>
      <c r="V45" s="196">
        <v>99.3</v>
      </c>
      <c r="W45" s="196">
        <v>10910.8</v>
      </c>
      <c r="X45" s="196">
        <v>3.1</v>
      </c>
      <c r="Y45" s="171" t="s">
        <v>143</v>
      </c>
      <c r="Z45" s="180" t="s">
        <v>143</v>
      </c>
      <c r="AA45" s="198">
        <v>43191</v>
      </c>
      <c r="AB45" s="171">
        <v>2017</v>
      </c>
      <c r="AC45" s="182">
        <v>7</v>
      </c>
      <c r="AD45" s="180">
        <v>361</v>
      </c>
      <c r="AE45" s="183">
        <v>9360</v>
      </c>
      <c r="AF45" s="184">
        <v>19.32</v>
      </c>
      <c r="AG45" s="138">
        <v>231360</v>
      </c>
      <c r="AH45" s="138">
        <v>11975</v>
      </c>
      <c r="AI45" s="138">
        <v>3</v>
      </c>
      <c r="AJ45" s="185">
        <v>1</v>
      </c>
    </row>
    <row r="46" spans="1:36" ht="15.9" customHeight="1" x14ac:dyDescent="0.2">
      <c r="A46" s="121" t="s">
        <v>194</v>
      </c>
      <c r="B46" s="186">
        <v>487772</v>
      </c>
      <c r="C46" s="187">
        <v>18916</v>
      </c>
      <c r="D46" s="162">
        <v>-0.34</v>
      </c>
      <c r="E46" s="162">
        <v>11.2</v>
      </c>
      <c r="F46" s="162">
        <v>60.6</v>
      </c>
      <c r="G46" s="162">
        <v>28.2</v>
      </c>
      <c r="H46" s="163">
        <f t="shared" ref="H46" si="21">I46-J46</f>
        <v>-2149</v>
      </c>
      <c r="I46" s="163">
        <v>3242</v>
      </c>
      <c r="J46" s="163">
        <v>5391</v>
      </c>
      <c r="K46" s="199">
        <v>1.33</v>
      </c>
      <c r="L46" s="186">
        <f t="shared" ref="L46" si="22">M46-N46</f>
        <v>549</v>
      </c>
      <c r="M46" s="163">
        <v>18509</v>
      </c>
      <c r="N46" s="163">
        <v>17960</v>
      </c>
      <c r="O46" s="163">
        <v>241432</v>
      </c>
      <c r="P46" s="200">
        <v>0.98</v>
      </c>
      <c r="Q46" s="163">
        <v>502784</v>
      </c>
      <c r="R46" s="191">
        <v>103.832063072811</v>
      </c>
      <c r="S46" s="202">
        <v>67.400000000000006</v>
      </c>
      <c r="T46" s="160">
        <v>61.78</v>
      </c>
      <c r="U46" s="162">
        <v>49.8</v>
      </c>
      <c r="V46" s="192">
        <v>99.9</v>
      </c>
      <c r="W46" s="192">
        <v>9897.6</v>
      </c>
      <c r="X46" s="192">
        <v>12</v>
      </c>
      <c r="Y46" s="162" t="s">
        <v>143</v>
      </c>
      <c r="Z46" s="164" t="s">
        <v>143</v>
      </c>
      <c r="AA46" s="133">
        <v>43826</v>
      </c>
      <c r="AB46" s="162">
        <v>2997</v>
      </c>
      <c r="AC46" s="165">
        <v>7</v>
      </c>
      <c r="AD46" s="164">
        <v>542</v>
      </c>
      <c r="AE46" s="193">
        <v>7895.3</v>
      </c>
      <c r="AF46" s="194">
        <v>49.5</v>
      </c>
      <c r="AG46" s="163">
        <v>501649</v>
      </c>
      <c r="AH46" s="163">
        <v>10134.323232323231</v>
      </c>
      <c r="AI46" s="163">
        <v>2</v>
      </c>
      <c r="AJ46" s="195" t="s">
        <v>143</v>
      </c>
    </row>
    <row r="47" spans="1:36" ht="15.9" customHeight="1" x14ac:dyDescent="0.2">
      <c r="A47" s="169" t="s">
        <v>195</v>
      </c>
      <c r="B47" s="139">
        <v>534648</v>
      </c>
      <c r="C47" s="170">
        <v>11529</v>
      </c>
      <c r="D47" s="171">
        <v>-0.28795655287657951</v>
      </c>
      <c r="E47" s="171">
        <v>13.233192680043693</v>
      </c>
      <c r="F47" s="171">
        <v>60.075040026335081</v>
      </c>
      <c r="G47" s="171">
        <v>26.691767293621222</v>
      </c>
      <c r="H47" s="138">
        <v>-1443</v>
      </c>
      <c r="I47" s="138">
        <v>4087</v>
      </c>
      <c r="J47" s="138">
        <v>5530</v>
      </c>
      <c r="K47" s="107">
        <v>1.49</v>
      </c>
      <c r="L47" s="139">
        <v>324</v>
      </c>
      <c r="M47" s="138">
        <v>15571</v>
      </c>
      <c r="N47" s="138">
        <v>15247</v>
      </c>
      <c r="O47" s="138">
        <v>240574</v>
      </c>
      <c r="P47" s="196">
        <v>0.93901047261009296</v>
      </c>
      <c r="Q47" s="138">
        <v>535664</v>
      </c>
      <c r="R47" s="175">
        <v>100.53186325756445</v>
      </c>
      <c r="S47" s="197">
        <v>89.9</v>
      </c>
      <c r="T47" s="177">
        <v>534.35</v>
      </c>
      <c r="U47" s="171">
        <v>110.6</v>
      </c>
      <c r="V47" s="179">
        <v>85.3</v>
      </c>
      <c r="W47" s="179">
        <v>4131.1000000000004</v>
      </c>
      <c r="X47" s="179">
        <v>197</v>
      </c>
      <c r="Y47" s="171" t="s">
        <v>143</v>
      </c>
      <c r="Z47" s="180">
        <v>226.8</v>
      </c>
      <c r="AA47" s="198">
        <v>43189</v>
      </c>
      <c r="AB47" s="171">
        <v>8379</v>
      </c>
      <c r="AC47" s="182">
        <v>14</v>
      </c>
      <c r="AD47" s="180">
        <v>1077</v>
      </c>
      <c r="AE47" s="183">
        <v>1000.4079112325282</v>
      </c>
      <c r="AF47" s="184">
        <v>93.42</v>
      </c>
      <c r="AG47" s="138">
        <v>390211</v>
      </c>
      <c r="AH47" s="138">
        <v>4177</v>
      </c>
      <c r="AI47" s="138">
        <v>8</v>
      </c>
      <c r="AJ47" s="185">
        <v>2</v>
      </c>
    </row>
    <row r="48" spans="1:36" ht="15.9" customHeight="1" x14ac:dyDescent="0.2">
      <c r="A48" s="121" t="s">
        <v>196</v>
      </c>
      <c r="B48" s="186">
        <v>463236</v>
      </c>
      <c r="C48" s="187">
        <v>11962</v>
      </c>
      <c r="D48" s="152">
        <v>0.1</v>
      </c>
      <c r="E48" s="162">
        <v>11.6</v>
      </c>
      <c r="F48" s="162">
        <v>60.8</v>
      </c>
      <c r="G48" s="162">
        <v>27.6</v>
      </c>
      <c r="H48" s="163">
        <f t="shared" ref="H48" si="23">I48-J48</f>
        <v>-1441</v>
      </c>
      <c r="I48" s="163">
        <v>3718</v>
      </c>
      <c r="J48" s="163">
        <v>5159</v>
      </c>
      <c r="K48" s="199">
        <v>1.38</v>
      </c>
      <c r="L48" s="186">
        <f t="shared" ref="L48" si="24">M48-N48</f>
        <v>1517</v>
      </c>
      <c r="M48" s="163">
        <v>19203</v>
      </c>
      <c r="N48" s="163">
        <v>17686</v>
      </c>
      <c r="O48" s="163">
        <v>236606</v>
      </c>
      <c r="P48" s="200">
        <v>1</v>
      </c>
      <c r="Q48" s="223">
        <v>452563</v>
      </c>
      <c r="R48" s="1013">
        <v>96.8</v>
      </c>
      <c r="S48" s="202">
        <v>47</v>
      </c>
      <c r="T48" s="160">
        <v>50.72</v>
      </c>
      <c r="U48" s="162">
        <v>46.7</v>
      </c>
      <c r="V48" s="192">
        <v>100</v>
      </c>
      <c r="W48" s="162">
        <v>9919.4</v>
      </c>
      <c r="X48" s="192">
        <v>4</v>
      </c>
      <c r="Y48" s="162" t="s">
        <v>143</v>
      </c>
      <c r="Z48" s="164" t="s">
        <v>143</v>
      </c>
      <c r="AA48" s="133">
        <v>42825</v>
      </c>
      <c r="AB48" s="162">
        <v>3391</v>
      </c>
      <c r="AC48" s="165">
        <v>7</v>
      </c>
      <c r="AD48" s="164">
        <v>508</v>
      </c>
      <c r="AE48" s="193">
        <v>9133</v>
      </c>
      <c r="AF48" s="194">
        <v>50.72</v>
      </c>
      <c r="AG48" s="163">
        <v>452563</v>
      </c>
      <c r="AH48" s="163">
        <v>8923</v>
      </c>
      <c r="AI48" s="163">
        <v>2</v>
      </c>
      <c r="AJ48" s="195" t="s">
        <v>143</v>
      </c>
    </row>
    <row r="49" spans="1:36" ht="15.9" customHeight="1" x14ac:dyDescent="0.2">
      <c r="A49" s="169" t="s">
        <v>197</v>
      </c>
      <c r="B49" s="139">
        <v>303587</v>
      </c>
      <c r="C49" s="170">
        <v>3581</v>
      </c>
      <c r="D49" s="171">
        <v>0.2</v>
      </c>
      <c r="E49" s="171">
        <v>13.8</v>
      </c>
      <c r="F49" s="171">
        <v>60.1</v>
      </c>
      <c r="G49" s="171">
        <v>26.1</v>
      </c>
      <c r="H49" s="138">
        <f t="shared" si="4"/>
        <v>-295</v>
      </c>
      <c r="I49" s="138">
        <v>2696</v>
      </c>
      <c r="J49" s="138">
        <v>2991</v>
      </c>
      <c r="K49" s="107">
        <v>1.64</v>
      </c>
      <c r="L49" s="139">
        <f t="shared" si="10"/>
        <v>1117</v>
      </c>
      <c r="M49" s="138">
        <v>11720</v>
      </c>
      <c r="N49" s="138">
        <v>10603</v>
      </c>
      <c r="O49" s="138">
        <v>139103</v>
      </c>
      <c r="P49" s="196">
        <v>0.9</v>
      </c>
      <c r="Q49" s="138">
        <v>293409</v>
      </c>
      <c r="R49" s="175">
        <v>89.6</v>
      </c>
      <c r="S49" s="197">
        <v>71</v>
      </c>
      <c r="T49" s="177">
        <v>49.42</v>
      </c>
      <c r="U49" s="171">
        <v>38.9</v>
      </c>
      <c r="V49" s="179">
        <v>98</v>
      </c>
      <c r="W49" s="171">
        <v>7534.8</v>
      </c>
      <c r="X49" s="179">
        <v>10.5</v>
      </c>
      <c r="Y49" s="171">
        <v>0</v>
      </c>
      <c r="Z49" s="180">
        <v>0</v>
      </c>
      <c r="AA49" s="198" t="s">
        <v>143</v>
      </c>
      <c r="AB49" s="171" t="s">
        <v>143</v>
      </c>
      <c r="AC49" s="182" t="s">
        <v>143</v>
      </c>
      <c r="AD49" s="180" t="s">
        <v>143</v>
      </c>
      <c r="AE49" s="183">
        <v>6143</v>
      </c>
      <c r="AF49" s="184">
        <v>37.049999999999997</v>
      </c>
      <c r="AG49" s="138">
        <v>279870</v>
      </c>
      <c r="AH49" s="138">
        <v>7554</v>
      </c>
      <c r="AI49" s="138">
        <v>2</v>
      </c>
      <c r="AJ49" s="185" t="s">
        <v>143</v>
      </c>
    </row>
    <row r="50" spans="1:36" ht="15.9" customHeight="1" x14ac:dyDescent="0.2">
      <c r="A50" s="121" t="s">
        <v>198</v>
      </c>
      <c r="B50" s="186">
        <v>483744</v>
      </c>
      <c r="C50" s="187">
        <v>7121</v>
      </c>
      <c r="D50" s="162">
        <v>0</v>
      </c>
      <c r="E50" s="162">
        <v>13.7</v>
      </c>
      <c r="F50" s="162">
        <v>62.2</v>
      </c>
      <c r="G50" s="162">
        <v>24.1</v>
      </c>
      <c r="H50" s="163">
        <v>-351</v>
      </c>
      <c r="I50" s="163">
        <v>3733</v>
      </c>
      <c r="J50" s="163">
        <v>4084</v>
      </c>
      <c r="K50" s="199">
        <v>1.37</v>
      </c>
      <c r="L50" s="186">
        <v>-732</v>
      </c>
      <c r="M50" s="163">
        <v>21372</v>
      </c>
      <c r="N50" s="163">
        <v>22104</v>
      </c>
      <c r="O50" s="163">
        <v>222844</v>
      </c>
      <c r="P50" s="200">
        <v>0.7</v>
      </c>
      <c r="Q50" s="163">
        <v>487850</v>
      </c>
      <c r="R50" s="191">
        <v>90</v>
      </c>
      <c r="S50" s="224">
        <v>69.7</v>
      </c>
      <c r="T50" s="160">
        <v>100.18</v>
      </c>
      <c r="U50" s="162">
        <v>52.2</v>
      </c>
      <c r="V50" s="192">
        <v>99.8</v>
      </c>
      <c r="W50" s="162">
        <v>9255.5</v>
      </c>
      <c r="X50" s="192">
        <v>48.1</v>
      </c>
      <c r="Y50" s="162" t="s">
        <v>199</v>
      </c>
      <c r="Z50" s="164" t="s">
        <v>199</v>
      </c>
      <c r="AA50" s="133">
        <v>43647</v>
      </c>
      <c r="AB50" s="162">
        <v>4436</v>
      </c>
      <c r="AC50" s="165">
        <v>8</v>
      </c>
      <c r="AD50" s="164">
        <v>1996</v>
      </c>
      <c r="AE50" s="193">
        <v>4829</v>
      </c>
      <c r="AF50" s="194">
        <v>39.75</v>
      </c>
      <c r="AG50" s="163">
        <v>451372</v>
      </c>
      <c r="AH50" s="163">
        <v>11355</v>
      </c>
      <c r="AI50" s="163">
        <v>4</v>
      </c>
      <c r="AJ50" s="195">
        <v>2</v>
      </c>
    </row>
    <row r="51" spans="1:36" ht="15.9" customHeight="1" x14ac:dyDescent="0.2">
      <c r="A51" s="169" t="s">
        <v>200</v>
      </c>
      <c r="B51" s="139">
        <v>355529</v>
      </c>
      <c r="C51" s="170">
        <v>3734</v>
      </c>
      <c r="D51" s="171">
        <v>-0.2</v>
      </c>
      <c r="E51" s="171">
        <v>11.5</v>
      </c>
      <c r="F51" s="171">
        <v>57.5</v>
      </c>
      <c r="G51" s="171">
        <v>31</v>
      </c>
      <c r="H51" s="138">
        <v>-1528</v>
      </c>
      <c r="I51" s="138">
        <v>2174</v>
      </c>
      <c r="J51" s="138">
        <v>3702</v>
      </c>
      <c r="K51" s="107">
        <v>1.23</v>
      </c>
      <c r="L51" s="139">
        <v>411</v>
      </c>
      <c r="M51" s="138">
        <v>12689</v>
      </c>
      <c r="N51" s="138">
        <v>12278</v>
      </c>
      <c r="O51" s="138">
        <v>163991</v>
      </c>
      <c r="P51" s="196">
        <v>1</v>
      </c>
      <c r="Q51" s="138">
        <v>360310</v>
      </c>
      <c r="R51" s="175">
        <v>94.8</v>
      </c>
      <c r="S51" s="222">
        <v>70</v>
      </c>
      <c r="T51" s="177">
        <v>276.94</v>
      </c>
      <c r="U51" s="171">
        <v>48.6</v>
      </c>
      <c r="V51" s="179">
        <v>91</v>
      </c>
      <c r="W51" s="1016">
        <v>6536.3</v>
      </c>
      <c r="X51" s="1017">
        <v>163</v>
      </c>
      <c r="Y51" s="171" t="s">
        <v>143</v>
      </c>
      <c r="Z51" s="180">
        <v>65.3</v>
      </c>
      <c r="AA51" s="198" t="s">
        <v>143</v>
      </c>
      <c r="AB51" s="171" t="s">
        <v>143</v>
      </c>
      <c r="AC51" s="182" t="s">
        <v>143</v>
      </c>
      <c r="AD51" s="180" t="s">
        <v>143</v>
      </c>
      <c r="AE51" s="183">
        <v>1284</v>
      </c>
      <c r="AF51" s="184">
        <v>45.68</v>
      </c>
      <c r="AG51" s="138">
        <v>308006</v>
      </c>
      <c r="AH51" s="138">
        <v>6743</v>
      </c>
      <c r="AI51" s="138">
        <v>7</v>
      </c>
      <c r="AJ51" s="185">
        <v>8</v>
      </c>
    </row>
    <row r="52" spans="1:36" ht="15.9" customHeight="1" x14ac:dyDescent="0.2">
      <c r="A52" s="121" t="s">
        <v>201</v>
      </c>
      <c r="B52" s="186">
        <v>365809</v>
      </c>
      <c r="C52" s="187">
        <v>3610</v>
      </c>
      <c r="D52" s="162">
        <f>(365809-367802)/367802*100</f>
        <v>-0.54186763530377757</v>
      </c>
      <c r="E52" s="162">
        <f>0.118950053169824*100</f>
        <v>11.895005316982401</v>
      </c>
      <c r="F52" s="162">
        <f>0.577268465237323*100</f>
        <v>57.726846523732299</v>
      </c>
      <c r="G52" s="162">
        <f>0.303765079590715*100</f>
        <v>30.376507959071503</v>
      </c>
      <c r="H52" s="163">
        <f t="shared" ref="H52" si="25">I52-J52</f>
        <v>-1908</v>
      </c>
      <c r="I52" s="163">
        <v>2578</v>
      </c>
      <c r="J52" s="163">
        <v>4486</v>
      </c>
      <c r="K52" s="199">
        <v>1.49</v>
      </c>
      <c r="L52" s="186">
        <f t="shared" ref="L52" si="26">M52-N52</f>
        <v>17</v>
      </c>
      <c r="M52" s="163">
        <v>9172</v>
      </c>
      <c r="N52" s="163">
        <v>9155</v>
      </c>
      <c r="O52" s="163">
        <v>174783</v>
      </c>
      <c r="P52" s="200">
        <f>(174783-173925)/173925*100</f>
        <v>0.49331608451918929</v>
      </c>
      <c r="Q52" s="163">
        <v>364154</v>
      </c>
      <c r="R52" s="191">
        <v>104.5</v>
      </c>
      <c r="S52" s="224">
        <v>76.709999999999994</v>
      </c>
      <c r="T52" s="160">
        <v>208.85</v>
      </c>
      <c r="U52" s="162">
        <v>74.2</v>
      </c>
      <c r="V52" s="192">
        <v>86.8</v>
      </c>
      <c r="W52" s="162">
        <v>4142</v>
      </c>
      <c r="X52" s="192">
        <v>134.69999999999999</v>
      </c>
      <c r="Y52" s="162" t="s">
        <v>143</v>
      </c>
      <c r="Z52" s="164" t="s">
        <v>143</v>
      </c>
      <c r="AA52" s="133">
        <v>43374</v>
      </c>
      <c r="AB52" s="162">
        <v>4949</v>
      </c>
      <c r="AC52" s="165">
        <v>13</v>
      </c>
      <c r="AD52" s="164">
        <v>518</v>
      </c>
      <c r="AE52" s="193">
        <v>1752</v>
      </c>
      <c r="AF52" s="194">
        <v>63.05</v>
      </c>
      <c r="AG52" s="163">
        <v>275582</v>
      </c>
      <c r="AH52" s="163">
        <v>4370.8</v>
      </c>
      <c r="AI52" s="163">
        <v>4</v>
      </c>
      <c r="AJ52" s="195" t="s">
        <v>143</v>
      </c>
    </row>
    <row r="53" spans="1:36" ht="15.9" customHeight="1" x14ac:dyDescent="0.2">
      <c r="A53" s="169" t="s">
        <v>202</v>
      </c>
      <c r="B53" s="139">
        <v>186180</v>
      </c>
      <c r="C53" s="170">
        <v>1495</v>
      </c>
      <c r="D53" s="171">
        <v>-0.6</v>
      </c>
      <c r="E53" s="171">
        <v>13</v>
      </c>
      <c r="F53" s="171">
        <v>57.8</v>
      </c>
      <c r="G53" s="171">
        <v>29.2</v>
      </c>
      <c r="H53" s="138">
        <v>-921</v>
      </c>
      <c r="I53" s="138">
        <v>1332</v>
      </c>
      <c r="J53" s="138">
        <v>2253</v>
      </c>
      <c r="K53" s="107">
        <v>1.5</v>
      </c>
      <c r="L53" s="139">
        <v>-397</v>
      </c>
      <c r="M53" s="138">
        <v>4663</v>
      </c>
      <c r="N53" s="138">
        <v>5060</v>
      </c>
      <c r="O53" s="138">
        <v>80319</v>
      </c>
      <c r="P53" s="196">
        <v>0.7</v>
      </c>
      <c r="Q53" s="138">
        <v>193717</v>
      </c>
      <c r="R53" s="175">
        <v>103.2</v>
      </c>
      <c r="S53" s="222">
        <v>66.5</v>
      </c>
      <c r="T53" s="225">
        <v>765.31</v>
      </c>
      <c r="U53" s="171">
        <v>31.26</v>
      </c>
      <c r="V53" s="179">
        <v>86.48</v>
      </c>
      <c r="W53" s="171">
        <v>4136.21</v>
      </c>
      <c r="X53" s="179">
        <v>146.76</v>
      </c>
      <c r="Y53" s="171">
        <v>88.61</v>
      </c>
      <c r="Z53" s="180">
        <v>498.68</v>
      </c>
      <c r="AA53" s="198" t="s">
        <v>143</v>
      </c>
      <c r="AB53" s="171" t="s">
        <v>143</v>
      </c>
      <c r="AC53" s="182" t="s">
        <v>143</v>
      </c>
      <c r="AD53" s="180" t="s">
        <v>143</v>
      </c>
      <c r="AE53" s="183">
        <v>243</v>
      </c>
      <c r="AF53" s="184">
        <v>19.03</v>
      </c>
      <c r="AG53" s="138">
        <v>100756</v>
      </c>
      <c r="AH53" s="138">
        <v>5295</v>
      </c>
      <c r="AI53" s="138">
        <v>2</v>
      </c>
      <c r="AJ53" s="185">
        <v>4</v>
      </c>
    </row>
    <row r="54" spans="1:36" ht="15.9" customHeight="1" x14ac:dyDescent="0.2">
      <c r="A54" s="121" t="s">
        <v>203</v>
      </c>
      <c r="B54" s="186">
        <v>200858</v>
      </c>
      <c r="C54" s="187">
        <v>1602</v>
      </c>
      <c r="D54" s="162">
        <v>-0.5</v>
      </c>
      <c r="E54" s="162">
        <v>13.2</v>
      </c>
      <c r="F54" s="162">
        <v>57.2</v>
      </c>
      <c r="G54" s="162">
        <v>29.6</v>
      </c>
      <c r="H54" s="163">
        <v>-763</v>
      </c>
      <c r="I54" s="163">
        <v>1558</v>
      </c>
      <c r="J54" s="163">
        <v>2321</v>
      </c>
      <c r="K54" s="199">
        <v>1.55</v>
      </c>
      <c r="L54" s="186">
        <v>-224</v>
      </c>
      <c r="M54" s="163">
        <v>6393</v>
      </c>
      <c r="N54" s="163">
        <v>6617</v>
      </c>
      <c r="O54" s="163">
        <v>90196</v>
      </c>
      <c r="P54" s="200">
        <v>0.7</v>
      </c>
      <c r="Q54" s="190">
        <v>206230</v>
      </c>
      <c r="R54" s="162">
        <v>103.6</v>
      </c>
      <c r="S54" s="226">
        <v>60</v>
      </c>
      <c r="T54" s="227">
        <v>572.99</v>
      </c>
      <c r="U54" s="162">
        <v>32.799999999999997</v>
      </c>
      <c r="V54" s="192">
        <v>65.3</v>
      </c>
      <c r="W54" s="162">
        <v>4001.3</v>
      </c>
      <c r="X54" s="192">
        <v>145.69999999999999</v>
      </c>
      <c r="Y54" s="162">
        <v>20</v>
      </c>
      <c r="Z54" s="164">
        <v>374.5</v>
      </c>
      <c r="AA54" s="133">
        <v>43553</v>
      </c>
      <c r="AB54" s="162">
        <v>3017</v>
      </c>
      <c r="AC54" s="165">
        <v>3</v>
      </c>
      <c r="AD54" s="164">
        <v>444</v>
      </c>
      <c r="AE54" s="193">
        <v>351</v>
      </c>
      <c r="AF54" s="194">
        <v>21.67</v>
      </c>
      <c r="AG54" s="163">
        <v>105360</v>
      </c>
      <c r="AH54" s="163">
        <v>4862</v>
      </c>
      <c r="AI54" s="163">
        <v>5</v>
      </c>
      <c r="AJ54" s="195">
        <v>4</v>
      </c>
    </row>
    <row r="55" spans="1:36" ht="15.75" customHeight="1" x14ac:dyDescent="0.2">
      <c r="A55" s="169" t="s">
        <v>204</v>
      </c>
      <c r="B55" s="139">
        <v>481542</v>
      </c>
      <c r="C55" s="170">
        <v>6788</v>
      </c>
      <c r="D55" s="171">
        <v>-0.1</v>
      </c>
      <c r="E55" s="171">
        <v>13.7</v>
      </c>
      <c r="F55" s="171">
        <v>58.9</v>
      </c>
      <c r="G55" s="171">
        <v>27.3</v>
      </c>
      <c r="H55" s="138">
        <f t="shared" si="4"/>
        <v>-883</v>
      </c>
      <c r="I55" s="138">
        <v>3960</v>
      </c>
      <c r="J55" s="138">
        <v>4843</v>
      </c>
      <c r="K55" s="107">
        <v>1.56</v>
      </c>
      <c r="L55" s="139">
        <f t="shared" si="10"/>
        <v>923</v>
      </c>
      <c r="M55" s="138">
        <v>14170</v>
      </c>
      <c r="N55" s="138">
        <v>13247</v>
      </c>
      <c r="O55" s="138">
        <v>213391</v>
      </c>
      <c r="P55" s="196">
        <v>1.2</v>
      </c>
      <c r="Q55" s="174">
        <v>477118</v>
      </c>
      <c r="R55" s="171">
        <v>98.8</v>
      </c>
      <c r="S55" s="197" t="s">
        <v>143</v>
      </c>
      <c r="T55" s="177">
        <v>355.63</v>
      </c>
      <c r="U55" s="171">
        <v>120.9</v>
      </c>
      <c r="V55" s="179" t="s">
        <v>152</v>
      </c>
      <c r="W55" s="171" t="s">
        <v>152</v>
      </c>
      <c r="X55" s="179">
        <v>232.5</v>
      </c>
      <c r="Y55" s="171" t="s">
        <v>143</v>
      </c>
      <c r="Z55" s="180">
        <v>2.2000000000000002</v>
      </c>
      <c r="AA55" s="198" t="s">
        <v>205</v>
      </c>
      <c r="AB55" s="171" t="s">
        <v>143</v>
      </c>
      <c r="AC55" s="182" t="s">
        <v>143</v>
      </c>
      <c r="AD55" s="180" t="s">
        <v>143</v>
      </c>
      <c r="AE55" s="183">
        <v>1354</v>
      </c>
      <c r="AF55" s="184">
        <v>89.02</v>
      </c>
      <c r="AG55" s="138">
        <v>288666</v>
      </c>
      <c r="AH55" s="138">
        <v>3243</v>
      </c>
      <c r="AI55" s="138">
        <v>4</v>
      </c>
      <c r="AJ55" s="185">
        <v>0</v>
      </c>
    </row>
    <row r="56" spans="1:36" ht="15.9" customHeight="1" x14ac:dyDescent="0.2">
      <c r="A56" s="121" t="s">
        <v>206</v>
      </c>
      <c r="B56" s="186">
        <v>220342</v>
      </c>
      <c r="C56" s="187">
        <v>3570</v>
      </c>
      <c r="D56" s="162">
        <v>-1.4950000000000001</v>
      </c>
      <c r="E56" s="162">
        <v>10.82</v>
      </c>
      <c r="F56" s="162">
        <v>54.05</v>
      </c>
      <c r="G56" s="162">
        <v>35.130000000000003</v>
      </c>
      <c r="H56" s="163">
        <f t="shared" si="4"/>
        <v>-1990</v>
      </c>
      <c r="I56" s="163">
        <v>1260</v>
      </c>
      <c r="J56" s="163">
        <v>3250</v>
      </c>
      <c r="K56" s="199">
        <v>1.4</v>
      </c>
      <c r="L56" s="186">
        <f t="shared" si="10"/>
        <v>-1242</v>
      </c>
      <c r="M56" s="163">
        <v>7089</v>
      </c>
      <c r="N56" s="163">
        <v>8331</v>
      </c>
      <c r="O56" s="163">
        <v>109542</v>
      </c>
      <c r="P56" s="200">
        <v>-0.60099999999999998</v>
      </c>
      <c r="Q56" s="163">
        <v>228552</v>
      </c>
      <c r="R56" s="191">
        <v>98.8</v>
      </c>
      <c r="S56" s="202">
        <v>70</v>
      </c>
      <c r="T56" s="160">
        <v>352.83</v>
      </c>
      <c r="U56" s="162">
        <v>35.799999999999997</v>
      </c>
      <c r="V56" s="192">
        <v>97.3</v>
      </c>
      <c r="W56" s="162">
        <v>4882.7</v>
      </c>
      <c r="X56" s="192">
        <v>110.5</v>
      </c>
      <c r="Y56" s="162">
        <v>92.3</v>
      </c>
      <c r="Z56" s="164">
        <v>114.3</v>
      </c>
      <c r="AA56" s="133">
        <v>44197</v>
      </c>
      <c r="AB56" s="162">
        <v>1664.2</v>
      </c>
      <c r="AC56" s="165">
        <v>11</v>
      </c>
      <c r="AD56" s="164">
        <v>953.3</v>
      </c>
      <c r="AE56" s="193">
        <v>624</v>
      </c>
      <c r="AF56" s="194">
        <v>29.72</v>
      </c>
      <c r="AG56" s="163">
        <v>156083</v>
      </c>
      <c r="AH56" s="163">
        <v>5252</v>
      </c>
      <c r="AI56" s="163">
        <v>4</v>
      </c>
      <c r="AJ56" s="195">
        <v>1</v>
      </c>
    </row>
    <row r="57" spans="1:36" ht="15.9" customHeight="1" x14ac:dyDescent="0.2">
      <c r="A57" s="169" t="s">
        <v>207</v>
      </c>
      <c r="B57" s="139">
        <v>467837</v>
      </c>
      <c r="C57" s="170">
        <v>10326</v>
      </c>
      <c r="D57" s="171">
        <v>-0.115931508</v>
      </c>
      <c r="E57" s="171">
        <v>13.309122621767838</v>
      </c>
      <c r="F57" s="171">
        <v>58.327152405645556</v>
      </c>
      <c r="G57" s="171">
        <v>28.363724972586606</v>
      </c>
      <c r="H57" s="138">
        <f>I57-J57</f>
        <v>-1415</v>
      </c>
      <c r="I57" s="138">
        <v>3644</v>
      </c>
      <c r="J57" s="138">
        <v>5059</v>
      </c>
      <c r="K57" s="107">
        <v>1.6</v>
      </c>
      <c r="L57" s="139">
        <f t="shared" si="10"/>
        <v>408</v>
      </c>
      <c r="M57" s="138">
        <v>16246</v>
      </c>
      <c r="N57" s="138">
        <v>15838</v>
      </c>
      <c r="O57" s="138">
        <v>211391</v>
      </c>
      <c r="P57" s="196">
        <v>1.0724</v>
      </c>
      <c r="Q57" s="138">
        <v>464811</v>
      </c>
      <c r="R57" s="175">
        <v>100.01</v>
      </c>
      <c r="S57" s="197">
        <v>64.617999999999995</v>
      </c>
      <c r="T57" s="177">
        <v>518.14</v>
      </c>
      <c r="U57" s="171">
        <v>96.79</v>
      </c>
      <c r="V57" s="171">
        <v>81.88</v>
      </c>
      <c r="W57" s="171">
        <v>3932.32</v>
      </c>
      <c r="X57" s="171">
        <v>238.97</v>
      </c>
      <c r="Y57" s="171" t="s">
        <v>143</v>
      </c>
      <c r="Z57" s="180">
        <v>182.37</v>
      </c>
      <c r="AA57" s="198" t="s">
        <v>208</v>
      </c>
      <c r="AB57" s="171">
        <v>7350</v>
      </c>
      <c r="AC57" s="182">
        <v>17</v>
      </c>
      <c r="AD57" s="180">
        <v>3060</v>
      </c>
      <c r="AE57" s="183">
        <v>902.91600000000005</v>
      </c>
      <c r="AF57" s="184">
        <v>59.89</v>
      </c>
      <c r="AG57" s="138">
        <v>265448</v>
      </c>
      <c r="AH57" s="138">
        <v>4432.3</v>
      </c>
      <c r="AI57" s="138">
        <v>4</v>
      </c>
      <c r="AJ57" s="185">
        <v>1</v>
      </c>
    </row>
    <row r="58" spans="1:36" ht="15.9" customHeight="1" x14ac:dyDescent="0.2">
      <c r="A58" s="121" t="s">
        <v>209</v>
      </c>
      <c r="B58" s="186">
        <v>259346</v>
      </c>
      <c r="C58" s="187">
        <v>4625</v>
      </c>
      <c r="D58" s="162">
        <v>-1.1000000000000001</v>
      </c>
      <c r="E58" s="162">
        <v>11.151126294602577</v>
      </c>
      <c r="F58" s="162">
        <v>53.530033237451121</v>
      </c>
      <c r="G58" s="162">
        <v>35.318840467946295</v>
      </c>
      <c r="H58" s="163">
        <v>-2109</v>
      </c>
      <c r="I58" s="163">
        <v>1627</v>
      </c>
      <c r="J58" s="163">
        <v>3736</v>
      </c>
      <c r="K58" s="199">
        <v>1.44</v>
      </c>
      <c r="L58" s="186">
        <v>-567</v>
      </c>
      <c r="M58" s="163">
        <v>7287</v>
      </c>
      <c r="N58" s="163">
        <v>7854</v>
      </c>
      <c r="O58" s="163">
        <v>130077</v>
      </c>
      <c r="P58" s="200">
        <v>0</v>
      </c>
      <c r="Q58" s="163">
        <v>268517</v>
      </c>
      <c r="R58" s="191">
        <v>98.6</v>
      </c>
      <c r="S58" s="202">
        <v>78</v>
      </c>
      <c r="T58" s="160">
        <v>716.1</v>
      </c>
      <c r="U58" s="162">
        <v>56.83</v>
      </c>
      <c r="V58" s="192">
        <v>77.36</v>
      </c>
      <c r="W58" s="162">
        <v>3002.3</v>
      </c>
      <c r="X58" s="192">
        <v>135.9</v>
      </c>
      <c r="Y58" s="162">
        <v>191.63</v>
      </c>
      <c r="Z58" s="164">
        <v>331.74</v>
      </c>
      <c r="AA58" s="1014">
        <v>43861</v>
      </c>
      <c r="AB58" s="162">
        <v>2862</v>
      </c>
      <c r="AC58" s="165">
        <v>3</v>
      </c>
      <c r="AD58" s="164">
        <v>191.7</v>
      </c>
      <c r="AE58" s="193">
        <v>362</v>
      </c>
      <c r="AF58" s="194">
        <v>40.5</v>
      </c>
      <c r="AG58" s="163">
        <v>176520</v>
      </c>
      <c r="AH58" s="163">
        <v>4359</v>
      </c>
      <c r="AI58" s="163">
        <v>5</v>
      </c>
      <c r="AJ58" s="195" t="s">
        <v>143</v>
      </c>
    </row>
    <row r="59" spans="1:36" ht="15.9" customHeight="1" x14ac:dyDescent="0.2">
      <c r="A59" s="169" t="s">
        <v>210</v>
      </c>
      <c r="B59" s="139">
        <v>424993</v>
      </c>
      <c r="C59" s="170">
        <v>5004</v>
      </c>
      <c r="D59" s="171">
        <v>-0.22444001599999999</v>
      </c>
      <c r="E59" s="171">
        <v>13.159510862531853</v>
      </c>
      <c r="F59" s="171">
        <v>58.997912906800821</v>
      </c>
      <c r="G59" s="171">
        <v>27.842576230667326</v>
      </c>
      <c r="H59" s="138">
        <v>-1335</v>
      </c>
      <c r="I59" s="138">
        <v>3200</v>
      </c>
      <c r="J59" s="138">
        <v>4535</v>
      </c>
      <c r="K59" s="107">
        <v>1.42</v>
      </c>
      <c r="L59" s="139">
        <v>183</v>
      </c>
      <c r="M59" s="138">
        <v>15217</v>
      </c>
      <c r="N59" s="138">
        <v>15034</v>
      </c>
      <c r="O59" s="138">
        <v>198712</v>
      </c>
      <c r="P59" s="196">
        <v>1.0095615505766398</v>
      </c>
      <c r="Q59" s="138">
        <v>420748</v>
      </c>
      <c r="R59" s="175">
        <v>103.6</v>
      </c>
      <c r="S59" s="197">
        <v>54.44</v>
      </c>
      <c r="T59" s="177">
        <v>375.53</v>
      </c>
      <c r="U59" s="171" t="s">
        <v>143</v>
      </c>
      <c r="V59" s="179" t="s">
        <v>143</v>
      </c>
      <c r="W59" s="171" t="s">
        <v>143</v>
      </c>
      <c r="X59" s="179" t="s">
        <v>143</v>
      </c>
      <c r="Y59" s="171">
        <v>240.29</v>
      </c>
      <c r="Z59" s="180">
        <v>135.22999999999999</v>
      </c>
      <c r="AA59" s="198" t="s">
        <v>211</v>
      </c>
      <c r="AB59" s="171">
        <v>5907.96</v>
      </c>
      <c r="AC59" s="182" t="s">
        <v>143</v>
      </c>
      <c r="AD59" s="180">
        <v>2860.21</v>
      </c>
      <c r="AE59" s="183">
        <v>1131.7149999999999</v>
      </c>
      <c r="AF59" s="184">
        <v>41.04</v>
      </c>
      <c r="AG59" s="138">
        <v>212897</v>
      </c>
      <c r="AH59" s="138">
        <v>5187.5</v>
      </c>
      <c r="AI59" s="138">
        <v>4</v>
      </c>
      <c r="AJ59" s="185">
        <v>5</v>
      </c>
    </row>
    <row r="60" spans="1:36" ht="15.9" customHeight="1" x14ac:dyDescent="0.2">
      <c r="A60" s="121" t="s">
        <v>212</v>
      </c>
      <c r="B60" s="186">
        <v>509797</v>
      </c>
      <c r="C60" s="187">
        <v>3545</v>
      </c>
      <c r="D60" s="162">
        <v>-0.4</v>
      </c>
      <c r="E60" s="162">
        <v>12.7</v>
      </c>
      <c r="F60" s="162">
        <v>59.4</v>
      </c>
      <c r="G60" s="162">
        <v>27.8</v>
      </c>
      <c r="H60" s="163">
        <v>-2101</v>
      </c>
      <c r="I60" s="163">
        <v>3615</v>
      </c>
      <c r="J60" s="163">
        <v>5716</v>
      </c>
      <c r="K60" s="199">
        <v>1.3</v>
      </c>
      <c r="L60" s="186">
        <v>257</v>
      </c>
      <c r="M60" s="163">
        <v>16141</v>
      </c>
      <c r="N60" s="163">
        <v>15884</v>
      </c>
      <c r="O60" s="163">
        <v>250633</v>
      </c>
      <c r="P60" s="200">
        <v>0.6</v>
      </c>
      <c r="Q60" s="163">
        <v>514865</v>
      </c>
      <c r="R60" s="191">
        <v>101</v>
      </c>
      <c r="S60" s="202">
        <v>73.400000000000006</v>
      </c>
      <c r="T60" s="160">
        <v>429.4</v>
      </c>
      <c r="U60" s="162">
        <v>70.287000000000006</v>
      </c>
      <c r="V60" s="192">
        <v>87.013000000000005</v>
      </c>
      <c r="W60" s="162">
        <v>6290.96</v>
      </c>
      <c r="X60" s="192">
        <v>144.18</v>
      </c>
      <c r="Y60" s="162" t="s">
        <v>143</v>
      </c>
      <c r="Z60" s="164">
        <v>214.93</v>
      </c>
      <c r="AA60" s="133">
        <v>43553</v>
      </c>
      <c r="AB60" s="162">
        <v>4719</v>
      </c>
      <c r="AC60" s="165">
        <v>11</v>
      </c>
      <c r="AD60" s="164">
        <v>2258</v>
      </c>
      <c r="AE60" s="193">
        <v>1187</v>
      </c>
      <c r="AF60" s="194">
        <v>68.709999999999994</v>
      </c>
      <c r="AG60" s="163">
        <v>429624</v>
      </c>
      <c r="AH60" s="163">
        <v>6253</v>
      </c>
      <c r="AI60" s="163">
        <v>4</v>
      </c>
      <c r="AJ60" s="195" t="s">
        <v>152</v>
      </c>
    </row>
    <row r="61" spans="1:36" ht="15.9" customHeight="1" x14ac:dyDescent="0.2">
      <c r="A61" s="169" t="s">
        <v>213</v>
      </c>
      <c r="B61" s="139">
        <v>325545</v>
      </c>
      <c r="C61" s="170">
        <v>1803</v>
      </c>
      <c r="D61" s="171">
        <f>(325545-328077)/328077*100</f>
        <v>-0.77177004178897035</v>
      </c>
      <c r="E61" s="171">
        <v>12.2</v>
      </c>
      <c r="F61" s="171">
        <v>58.2</v>
      </c>
      <c r="G61" s="171">
        <v>29.6</v>
      </c>
      <c r="H61" s="138">
        <f t="shared" ref="H61" si="27">I61-J61</f>
        <v>-1608</v>
      </c>
      <c r="I61" s="138">
        <v>2263</v>
      </c>
      <c r="J61" s="138">
        <v>3871</v>
      </c>
      <c r="K61" s="107">
        <v>1.41</v>
      </c>
      <c r="L61" s="139">
        <f t="shared" ref="L61:L62" si="28">M61-N61</f>
        <v>-946</v>
      </c>
      <c r="M61" s="138">
        <v>9044</v>
      </c>
      <c r="N61" s="138">
        <v>9990</v>
      </c>
      <c r="O61" s="138">
        <v>163351</v>
      </c>
      <c r="P61" s="196">
        <f>(163351-163031)/163031*100</f>
        <v>0.19628168875857965</v>
      </c>
      <c r="Q61" s="138">
        <v>337190</v>
      </c>
      <c r="R61" s="175">
        <v>102.7592751861</v>
      </c>
      <c r="S61" s="197">
        <v>77</v>
      </c>
      <c r="T61" s="177">
        <v>309</v>
      </c>
      <c r="U61" s="171">
        <v>50.72</v>
      </c>
      <c r="V61" s="179">
        <v>90.36</v>
      </c>
      <c r="W61" s="171">
        <v>5802.48</v>
      </c>
      <c r="X61" s="179">
        <v>117.33</v>
      </c>
      <c r="Y61" s="171">
        <v>0</v>
      </c>
      <c r="Z61" s="180">
        <v>140.94999999999999</v>
      </c>
      <c r="AA61" s="198" t="s">
        <v>214</v>
      </c>
      <c r="AB61" s="171">
        <v>4652</v>
      </c>
      <c r="AC61" s="182">
        <v>3</v>
      </c>
      <c r="AD61" s="180">
        <v>584</v>
      </c>
      <c r="AE61" s="183">
        <f>B61/T61</f>
        <v>1053.5436893203882</v>
      </c>
      <c r="AF61" s="184">
        <v>44.38</v>
      </c>
      <c r="AG61" s="138">
        <v>271698</v>
      </c>
      <c r="AH61" s="138">
        <v>6122.08</v>
      </c>
      <c r="AI61" s="138">
        <v>3</v>
      </c>
      <c r="AJ61" s="185">
        <v>1</v>
      </c>
    </row>
    <row r="62" spans="1:36" ht="15.9" customHeight="1" x14ac:dyDescent="0.2">
      <c r="A62" s="121" t="s">
        <v>215</v>
      </c>
      <c r="B62" s="186">
        <v>304705</v>
      </c>
      <c r="C62" s="187">
        <v>4397</v>
      </c>
      <c r="D62" s="162">
        <v>0</v>
      </c>
      <c r="E62" s="162">
        <v>14</v>
      </c>
      <c r="F62" s="162">
        <v>58.9</v>
      </c>
      <c r="G62" s="162">
        <v>27.1</v>
      </c>
      <c r="H62" s="163">
        <v>-638</v>
      </c>
      <c r="I62" s="163">
        <v>2632</v>
      </c>
      <c r="J62" s="163">
        <v>3270</v>
      </c>
      <c r="K62" s="199">
        <v>1.67</v>
      </c>
      <c r="L62" s="186">
        <f t="shared" si="28"/>
        <v>83</v>
      </c>
      <c r="M62" s="163">
        <v>13105</v>
      </c>
      <c r="N62" s="163">
        <v>13022</v>
      </c>
      <c r="O62" s="163">
        <v>136444</v>
      </c>
      <c r="P62" s="200">
        <v>1.4</v>
      </c>
      <c r="Q62" s="163">
        <v>304552</v>
      </c>
      <c r="R62" s="191">
        <v>99.5</v>
      </c>
      <c r="S62" s="202">
        <v>72.900000000000006</v>
      </c>
      <c r="T62" s="160">
        <v>229.96</v>
      </c>
      <c r="U62" s="162">
        <v>36.4</v>
      </c>
      <c r="V62" s="192">
        <v>68.5</v>
      </c>
      <c r="W62" s="162">
        <v>5730.9</v>
      </c>
      <c r="X62" s="192">
        <v>88.3</v>
      </c>
      <c r="Y62" s="162">
        <v>105.3</v>
      </c>
      <c r="Z62" s="164" t="s">
        <v>143</v>
      </c>
      <c r="AA62" s="133">
        <v>43921</v>
      </c>
      <c r="AB62" s="162">
        <v>3410.4</v>
      </c>
      <c r="AC62" s="165">
        <v>21</v>
      </c>
      <c r="AD62" s="164">
        <v>1786.1</v>
      </c>
      <c r="AE62" s="193">
        <v>1325</v>
      </c>
      <c r="AF62" s="194">
        <v>32.4</v>
      </c>
      <c r="AG62" s="163">
        <v>188031</v>
      </c>
      <c r="AH62" s="163">
        <v>5796</v>
      </c>
      <c r="AI62" s="163">
        <v>2</v>
      </c>
      <c r="AJ62" s="195">
        <v>1</v>
      </c>
    </row>
    <row r="63" spans="1:36" ht="15.75" customHeight="1" x14ac:dyDescent="0.2">
      <c r="A63" s="169" t="s">
        <v>216</v>
      </c>
      <c r="B63" s="139">
        <v>413845</v>
      </c>
      <c r="C63" s="170">
        <v>3409</v>
      </c>
      <c r="D63" s="171">
        <v>-1.2</v>
      </c>
      <c r="E63" s="171">
        <v>11.7</v>
      </c>
      <c r="F63" s="171">
        <v>55.9</v>
      </c>
      <c r="G63" s="171">
        <v>32.4</v>
      </c>
      <c r="H63" s="138">
        <v>-2461</v>
      </c>
      <c r="I63" s="138">
        <v>2782</v>
      </c>
      <c r="J63" s="138">
        <v>5243</v>
      </c>
      <c r="K63" s="107">
        <v>1.41</v>
      </c>
      <c r="L63" s="139">
        <v>-2933</v>
      </c>
      <c r="M63" s="138">
        <v>12399</v>
      </c>
      <c r="N63" s="138">
        <v>15332</v>
      </c>
      <c r="O63" s="138">
        <v>206633</v>
      </c>
      <c r="P63" s="196">
        <v>-0.4</v>
      </c>
      <c r="Q63" s="138">
        <v>429508</v>
      </c>
      <c r="R63" s="175">
        <v>103.31</v>
      </c>
      <c r="S63" s="197">
        <v>68</v>
      </c>
      <c r="T63" s="177">
        <v>405.86</v>
      </c>
      <c r="U63" s="1016">
        <v>62.7</v>
      </c>
      <c r="V63" s="1017" t="s">
        <v>843</v>
      </c>
      <c r="W63" s="1016" t="s">
        <v>843</v>
      </c>
      <c r="X63" s="1017">
        <v>183.4</v>
      </c>
      <c r="Y63" s="1016">
        <v>36.4</v>
      </c>
      <c r="Z63" s="1018">
        <v>123.4</v>
      </c>
      <c r="AA63" s="198">
        <v>43313</v>
      </c>
      <c r="AB63" s="171">
        <v>3966</v>
      </c>
      <c r="AC63" s="182">
        <v>5</v>
      </c>
      <c r="AD63" s="180">
        <v>497</v>
      </c>
      <c r="AE63" s="183">
        <v>1020</v>
      </c>
      <c r="AF63" s="184">
        <v>44.69</v>
      </c>
      <c r="AG63" s="138">
        <v>314082</v>
      </c>
      <c r="AH63" s="138">
        <v>7028</v>
      </c>
      <c r="AI63" s="138">
        <v>9</v>
      </c>
      <c r="AJ63" s="185">
        <v>2</v>
      </c>
    </row>
    <row r="64" spans="1:36" ht="15.9" customHeight="1" x14ac:dyDescent="0.2">
      <c r="A64" s="121" t="s">
        <v>217</v>
      </c>
      <c r="B64" s="186">
        <v>247096</v>
      </c>
      <c r="C64" s="187">
        <v>1959</v>
      </c>
      <c r="D64" s="162">
        <v>-1.1546000000000001</v>
      </c>
      <c r="E64" s="162">
        <v>13.213800000000001</v>
      </c>
      <c r="F64" s="162">
        <v>55.17</v>
      </c>
      <c r="G64" s="162">
        <v>31.6</v>
      </c>
      <c r="H64" s="163">
        <f t="shared" ref="H64" si="29">I64-J64</f>
        <v>-1331</v>
      </c>
      <c r="I64" s="163">
        <v>1951</v>
      </c>
      <c r="J64" s="163">
        <v>3282</v>
      </c>
      <c r="K64" s="199">
        <v>1.7</v>
      </c>
      <c r="L64" s="186">
        <f t="shared" ref="L64" si="30">M64-N64</f>
        <v>-1186</v>
      </c>
      <c r="M64" s="163">
        <v>9004</v>
      </c>
      <c r="N64" s="163">
        <v>10190</v>
      </c>
      <c r="O64" s="163">
        <v>121153</v>
      </c>
      <c r="P64" s="200">
        <v>-0.29962100000000003</v>
      </c>
      <c r="Q64" s="163">
        <v>255439</v>
      </c>
      <c r="R64" s="191">
        <v>101.4</v>
      </c>
      <c r="S64" s="159">
        <v>81</v>
      </c>
      <c r="T64" s="1015">
        <v>426.06</v>
      </c>
      <c r="U64" s="162">
        <v>44.7</v>
      </c>
      <c r="V64" s="192">
        <v>89.1</v>
      </c>
      <c r="W64" s="162">
        <v>4345.6000000000004</v>
      </c>
      <c r="X64" s="192">
        <v>195.1</v>
      </c>
      <c r="Y64" s="162">
        <v>52.8</v>
      </c>
      <c r="Z64" s="164">
        <v>133.5</v>
      </c>
      <c r="AA64" s="133" t="s">
        <v>218</v>
      </c>
      <c r="AB64" s="211" t="s">
        <v>143</v>
      </c>
      <c r="AC64" s="214" t="s">
        <v>143</v>
      </c>
      <c r="AD64" s="212" t="s">
        <v>143</v>
      </c>
      <c r="AE64" s="166">
        <v>580</v>
      </c>
      <c r="AF64" s="194">
        <v>31.35</v>
      </c>
      <c r="AG64" s="163">
        <v>152157</v>
      </c>
      <c r="AH64" s="163">
        <v>4853</v>
      </c>
      <c r="AI64" s="163">
        <v>6</v>
      </c>
      <c r="AJ64" s="159">
        <v>1</v>
      </c>
    </row>
    <row r="65" spans="1:39" ht="15.9" customHeight="1" x14ac:dyDescent="0.2">
      <c r="A65" s="169" t="s">
        <v>219</v>
      </c>
      <c r="B65" s="139">
        <v>477393</v>
      </c>
      <c r="C65" s="170">
        <v>3429</v>
      </c>
      <c r="D65" s="171">
        <v>-0.1</v>
      </c>
      <c r="E65" s="171">
        <v>13.7</v>
      </c>
      <c r="F65" s="171">
        <v>59.3</v>
      </c>
      <c r="G65" s="171">
        <v>27.1</v>
      </c>
      <c r="H65" s="138">
        <f t="shared" si="4"/>
        <v>-752</v>
      </c>
      <c r="I65" s="138">
        <v>3844</v>
      </c>
      <c r="J65" s="138">
        <v>4596</v>
      </c>
      <c r="K65" s="107">
        <v>1.57</v>
      </c>
      <c r="L65" s="139">
        <f t="shared" si="10"/>
        <v>29</v>
      </c>
      <c r="M65" s="138">
        <v>15297</v>
      </c>
      <c r="N65" s="138">
        <v>15268</v>
      </c>
      <c r="O65" s="138">
        <v>222681</v>
      </c>
      <c r="P65" s="196">
        <v>0.9</v>
      </c>
      <c r="Q65" s="138">
        <v>478146</v>
      </c>
      <c r="R65" s="175">
        <v>101.7</v>
      </c>
      <c r="S65" s="197">
        <v>88</v>
      </c>
      <c r="T65" s="177">
        <v>502.39</v>
      </c>
      <c r="U65" s="171">
        <v>112.9</v>
      </c>
      <c r="V65" s="179">
        <v>87.7</v>
      </c>
      <c r="W65" s="171">
        <v>3610.5</v>
      </c>
      <c r="X65" s="179">
        <v>248.1</v>
      </c>
      <c r="Y65" s="171">
        <v>11.5</v>
      </c>
      <c r="Z65" s="180">
        <v>129.9</v>
      </c>
      <c r="AA65" s="198">
        <v>43553</v>
      </c>
      <c r="AB65" s="171">
        <v>7560</v>
      </c>
      <c r="AC65" s="182">
        <v>8</v>
      </c>
      <c r="AD65" s="180">
        <v>860</v>
      </c>
      <c r="AE65" s="183">
        <v>950</v>
      </c>
      <c r="AF65" s="184">
        <v>70.459999999999994</v>
      </c>
      <c r="AG65" s="138">
        <v>342769</v>
      </c>
      <c r="AH65" s="138">
        <v>4864.7</v>
      </c>
      <c r="AI65" s="138">
        <v>4</v>
      </c>
      <c r="AJ65" s="176">
        <v>1</v>
      </c>
    </row>
    <row r="66" spans="1:39" ht="15.9" customHeight="1" x14ac:dyDescent="0.2">
      <c r="A66" s="121" t="s">
        <v>220</v>
      </c>
      <c r="B66" s="228">
        <v>401293</v>
      </c>
      <c r="C66" s="163">
        <v>2529</v>
      </c>
      <c r="D66" s="162">
        <v>-0.2</v>
      </c>
      <c r="E66" s="162">
        <v>13.9</v>
      </c>
      <c r="F66" s="162">
        <v>58.2</v>
      </c>
      <c r="G66" s="162">
        <v>27.8</v>
      </c>
      <c r="H66" s="163">
        <f t="shared" si="4"/>
        <v>-854</v>
      </c>
      <c r="I66" s="163">
        <v>3226</v>
      </c>
      <c r="J66" s="163">
        <v>4080</v>
      </c>
      <c r="K66" s="229">
        <v>1.62</v>
      </c>
      <c r="L66" s="228">
        <f t="shared" si="10"/>
        <v>248</v>
      </c>
      <c r="M66" s="163">
        <v>14015</v>
      </c>
      <c r="N66" s="163">
        <v>13767</v>
      </c>
      <c r="O66" s="163">
        <v>196998</v>
      </c>
      <c r="P66" s="200">
        <v>0.8</v>
      </c>
      <c r="Q66" s="163">
        <v>401138</v>
      </c>
      <c r="R66" s="200">
        <v>101.6</v>
      </c>
      <c r="S66" s="159">
        <v>53</v>
      </c>
      <c r="T66" s="160">
        <v>643.66999999999996</v>
      </c>
      <c r="U66" s="162">
        <v>62.55</v>
      </c>
      <c r="V66" s="191">
        <v>87.57</v>
      </c>
      <c r="W66" s="162">
        <v>5313.89</v>
      </c>
      <c r="X66" s="162">
        <v>213.26</v>
      </c>
      <c r="Y66" s="162">
        <v>7.65</v>
      </c>
      <c r="Z66" s="164">
        <v>360.24</v>
      </c>
      <c r="AA66" s="133">
        <v>44004</v>
      </c>
      <c r="AB66" s="162">
        <v>5090.5</v>
      </c>
      <c r="AC66" s="165">
        <v>20</v>
      </c>
      <c r="AD66" s="164">
        <v>1454.1</v>
      </c>
      <c r="AE66" s="193">
        <v>623</v>
      </c>
      <c r="AF66" s="194">
        <v>50.59</v>
      </c>
      <c r="AG66" s="163">
        <v>278193</v>
      </c>
      <c r="AH66" s="163">
        <v>5499</v>
      </c>
      <c r="AI66" s="163">
        <v>4</v>
      </c>
      <c r="AJ66" s="159">
        <v>2</v>
      </c>
    </row>
    <row r="67" spans="1:39" ht="15.9" customHeight="1" x14ac:dyDescent="0.2">
      <c r="A67" s="169" t="s">
        <v>221</v>
      </c>
      <c r="B67" s="139">
        <v>600890</v>
      </c>
      <c r="C67" s="170">
        <v>3346</v>
      </c>
      <c r="D67" s="171">
        <v>-0.2</v>
      </c>
      <c r="E67" s="171">
        <v>13.8</v>
      </c>
      <c r="F67" s="171">
        <v>59</v>
      </c>
      <c r="G67" s="171">
        <v>27.2</v>
      </c>
      <c r="H67" s="138">
        <v>-1379</v>
      </c>
      <c r="I67" s="138">
        <v>4784</v>
      </c>
      <c r="J67" s="138">
        <v>6163</v>
      </c>
      <c r="K67" s="107">
        <v>1.4</v>
      </c>
      <c r="L67" s="139">
        <v>-787</v>
      </c>
      <c r="M67" s="138">
        <v>20665</v>
      </c>
      <c r="N67" s="138">
        <v>21452</v>
      </c>
      <c r="O67" s="138">
        <v>297290</v>
      </c>
      <c r="P67" s="196">
        <v>0.5</v>
      </c>
      <c r="Q67" s="138">
        <v>599814</v>
      </c>
      <c r="R67" s="175">
        <v>101.4</v>
      </c>
      <c r="S67" s="197">
        <v>53</v>
      </c>
      <c r="T67" s="177">
        <v>547.58000000000004</v>
      </c>
      <c r="U67" s="171">
        <v>84.1</v>
      </c>
      <c r="V67" s="175">
        <v>92.2</v>
      </c>
      <c r="W67" s="171">
        <v>6058.6</v>
      </c>
      <c r="X67" s="179">
        <v>206.1</v>
      </c>
      <c r="Y67" s="171">
        <v>94.7</v>
      </c>
      <c r="Z67" s="180">
        <v>162.69999999999999</v>
      </c>
      <c r="AA67" s="198" t="s">
        <v>222</v>
      </c>
      <c r="AB67" s="171">
        <v>8067</v>
      </c>
      <c r="AC67" s="182">
        <v>38</v>
      </c>
      <c r="AD67" s="180">
        <v>675</v>
      </c>
      <c r="AE67" s="183">
        <v>1097.3556375324154</v>
      </c>
      <c r="AF67" s="184">
        <v>74.59</v>
      </c>
      <c r="AG67" s="138">
        <v>482548</v>
      </c>
      <c r="AH67" s="138">
        <v>6469</v>
      </c>
      <c r="AI67" s="138">
        <v>5</v>
      </c>
      <c r="AJ67" s="176">
        <v>1</v>
      </c>
    </row>
    <row r="68" spans="1:39" ht="15.9" customHeight="1" thickBot="1" x14ac:dyDescent="0.25">
      <c r="A68" s="121" t="s">
        <v>223</v>
      </c>
      <c r="B68" s="228">
        <v>321183</v>
      </c>
      <c r="C68" s="230">
        <v>5642</v>
      </c>
      <c r="D68" s="162">
        <v>2.7717739976451699E-2</v>
      </c>
      <c r="E68" s="162">
        <v>14.9089459902921</v>
      </c>
      <c r="F68" s="162">
        <v>61.912990413564799</v>
      </c>
      <c r="G68" s="162">
        <v>23.178063596143001</v>
      </c>
      <c r="H68" s="163">
        <f t="shared" si="4"/>
        <v>50</v>
      </c>
      <c r="I68" s="163">
        <v>2845</v>
      </c>
      <c r="J68" s="163">
        <v>2795</v>
      </c>
      <c r="K68" s="229">
        <v>1.53</v>
      </c>
      <c r="L68" s="228">
        <f>M68-N68</f>
        <v>-502</v>
      </c>
      <c r="M68" s="230">
        <v>16993</v>
      </c>
      <c r="N68" s="230">
        <v>17495</v>
      </c>
      <c r="O68" s="230">
        <v>154769</v>
      </c>
      <c r="P68" s="231">
        <v>1.51183230139573</v>
      </c>
      <c r="Q68" s="230">
        <v>319435</v>
      </c>
      <c r="R68" s="231">
        <v>109.6</v>
      </c>
      <c r="S68" s="232">
        <v>16</v>
      </c>
      <c r="T68" s="160">
        <v>39.99</v>
      </c>
      <c r="U68" s="233">
        <v>32.5</v>
      </c>
      <c r="V68" s="191">
        <v>99.5</v>
      </c>
      <c r="W68" s="233">
        <v>9840.5</v>
      </c>
      <c r="X68" s="233">
        <v>7.5</v>
      </c>
      <c r="Y68" s="234" t="s">
        <v>143</v>
      </c>
      <c r="Z68" s="235" t="s">
        <v>143</v>
      </c>
      <c r="AA68" s="236">
        <v>43921</v>
      </c>
      <c r="AB68" s="234">
        <v>2722.6</v>
      </c>
      <c r="AC68" s="237">
        <v>5</v>
      </c>
      <c r="AD68" s="238">
        <v>512.5</v>
      </c>
      <c r="AE68" s="193">
        <v>7754.2974408498303</v>
      </c>
      <c r="AF68" s="194">
        <v>38.4</v>
      </c>
      <c r="AG68" s="163">
        <v>318151</v>
      </c>
      <c r="AH68" s="163">
        <v>8285.2000000000007</v>
      </c>
      <c r="AI68" s="163">
        <v>3</v>
      </c>
      <c r="AJ68" s="159">
        <v>2</v>
      </c>
    </row>
    <row r="69" spans="1:39" ht="18" customHeight="1" thickTop="1" x14ac:dyDescent="0.2">
      <c r="A69" s="239" t="s">
        <v>224</v>
      </c>
      <c r="B69" s="240">
        <f>SUM(B7:B68)</f>
        <v>22799944</v>
      </c>
      <c r="C69" s="241">
        <f>SUM(C7:C68)</f>
        <v>405019</v>
      </c>
      <c r="D69" s="242" t="s">
        <v>139</v>
      </c>
      <c r="E69" s="242" t="s">
        <v>139</v>
      </c>
      <c r="F69" s="242" t="s">
        <v>139</v>
      </c>
      <c r="G69" s="242" t="s">
        <v>139</v>
      </c>
      <c r="H69" s="243">
        <f>SUM(H7:H68)</f>
        <v>-77003</v>
      </c>
      <c r="I69" s="244">
        <f>SUM(I7:I68)</f>
        <v>164745</v>
      </c>
      <c r="J69" s="244">
        <f>SUM(J7:J68)</f>
        <v>241748</v>
      </c>
      <c r="K69" s="245" t="s">
        <v>139</v>
      </c>
      <c r="L69" s="246">
        <f>SUM(L7:L68)</f>
        <v>17459</v>
      </c>
      <c r="M69" s="243">
        <f>SUM(M7:M68)</f>
        <v>865036</v>
      </c>
      <c r="N69" s="243">
        <f>SUM(N7:N68)</f>
        <v>847577</v>
      </c>
      <c r="O69" s="247">
        <f>SUM(O7:O68)</f>
        <v>10609273</v>
      </c>
      <c r="P69" s="248" t="s">
        <v>139</v>
      </c>
      <c r="Q69" s="249">
        <f>SUM(Q7:Q68)</f>
        <v>22955406</v>
      </c>
      <c r="R69" s="242" t="s">
        <v>139</v>
      </c>
      <c r="S69" s="250" t="s">
        <v>139</v>
      </c>
      <c r="T69" s="251">
        <f>SUM(T7:T68)</f>
        <v>25014.43</v>
      </c>
      <c r="U69" s="252">
        <f>SUM(U7:U68)</f>
        <v>3474.7989999999991</v>
      </c>
      <c r="V69" s="242" t="s">
        <v>139</v>
      </c>
      <c r="W69" s="242" t="s">
        <v>139</v>
      </c>
      <c r="X69" s="252">
        <f>SUM(X7:X68)</f>
        <v>8336.3910000000014</v>
      </c>
      <c r="Y69" s="252">
        <f>SUM(Y7:Y68)</f>
        <v>1308.9500000000003</v>
      </c>
      <c r="Z69" s="253">
        <f>SUM(Z7:Z68)</f>
        <v>11572.064999999999</v>
      </c>
      <c r="AA69" s="254" t="s">
        <v>139</v>
      </c>
      <c r="AB69" s="242" t="s">
        <v>139</v>
      </c>
      <c r="AC69" s="242" t="s">
        <v>139</v>
      </c>
      <c r="AD69" s="255" t="s">
        <v>139</v>
      </c>
      <c r="AE69" s="256" t="s">
        <v>139</v>
      </c>
      <c r="AF69" s="257">
        <f>SUM(AF7:AF68)</f>
        <v>2894.3100000000004</v>
      </c>
      <c r="AG69" s="258">
        <f>SUM(AG7:AG68)</f>
        <v>17893331</v>
      </c>
      <c r="AH69" s="259" t="s">
        <v>139</v>
      </c>
      <c r="AI69" s="258">
        <f>SUM(AI7:AI68)</f>
        <v>230</v>
      </c>
      <c r="AJ69" s="260">
        <f>SUM(AJ7:AJ68)</f>
        <v>134</v>
      </c>
    </row>
    <row r="70" spans="1:39" ht="18" customHeight="1" thickBot="1" x14ac:dyDescent="0.25">
      <c r="A70" s="261" t="s">
        <v>225</v>
      </c>
      <c r="B70" s="262">
        <f t="shared" ref="B70:R70" si="31">AVERAGE(B7:B68)</f>
        <v>367741.03225806454</v>
      </c>
      <c r="C70" s="263">
        <f t="shared" si="31"/>
        <v>6532.5645161290322</v>
      </c>
      <c r="D70" s="264">
        <f t="shared" si="31"/>
        <v>-0.30210313561434776</v>
      </c>
      <c r="E70" s="264">
        <f t="shared" si="31"/>
        <v>12.560503778899372</v>
      </c>
      <c r="F70" s="264">
        <f t="shared" si="31"/>
        <v>59.24159492270639</v>
      </c>
      <c r="G70" s="264">
        <f t="shared" si="31"/>
        <v>28.192274843552074</v>
      </c>
      <c r="H70" s="263">
        <f t="shared" si="31"/>
        <v>-1241.983870967742</v>
      </c>
      <c r="I70" s="263">
        <f t="shared" si="31"/>
        <v>2657.1774193548385</v>
      </c>
      <c r="J70" s="263">
        <f t="shared" si="31"/>
        <v>3899.1612903225805</v>
      </c>
      <c r="K70" s="265">
        <f t="shared" si="31"/>
        <v>1.405911389721731</v>
      </c>
      <c r="L70" s="266">
        <f t="shared" si="31"/>
        <v>281.59677419354841</v>
      </c>
      <c r="M70" s="263">
        <f t="shared" si="31"/>
        <v>13952.193548387097</v>
      </c>
      <c r="N70" s="263">
        <f t="shared" si="31"/>
        <v>13670.596774193549</v>
      </c>
      <c r="O70" s="263">
        <f t="shared" si="31"/>
        <v>171117.30645161291</v>
      </c>
      <c r="P70" s="267">
        <f>AVERAGE(P7:P68)</f>
        <v>0.73735837954265337</v>
      </c>
      <c r="Q70" s="263">
        <f t="shared" si="31"/>
        <v>370248.48387096776</v>
      </c>
      <c r="R70" s="263">
        <f t="shared" si="31"/>
        <v>99.528677553587386</v>
      </c>
      <c r="S70" s="232" t="s">
        <v>139</v>
      </c>
      <c r="T70" s="268">
        <f>AVERAGE(T7:T68)</f>
        <v>403.45854838709676</v>
      </c>
      <c r="U70" s="265">
        <f>AVERAGE(U7:U68)</f>
        <v>56.963918032786871</v>
      </c>
      <c r="V70" s="269" t="s">
        <v>139</v>
      </c>
      <c r="W70" s="231" t="s">
        <v>139</v>
      </c>
      <c r="X70" s="233" t="s">
        <v>139</v>
      </c>
      <c r="Y70" s="264">
        <f>AVERAGE(Y7:Y68)</f>
        <v>56.910869565217403</v>
      </c>
      <c r="Z70" s="270">
        <f>AVERAGE(Z7:Z68)</f>
        <v>296.71961538461534</v>
      </c>
      <c r="AA70" s="271" t="s">
        <v>139</v>
      </c>
      <c r="AB70" s="231" t="s">
        <v>139</v>
      </c>
      <c r="AC70" s="231" t="s">
        <v>139</v>
      </c>
      <c r="AD70" s="272" t="s">
        <v>139</v>
      </c>
      <c r="AE70" s="273">
        <f t="shared" ref="AE70:AJ70" si="32">AVERAGE(AE7:AE68)</f>
        <v>2537.8068990688143</v>
      </c>
      <c r="AF70" s="264">
        <f t="shared" si="32"/>
        <v>46.682419354838714</v>
      </c>
      <c r="AG70" s="264">
        <f t="shared" si="32"/>
        <v>288602.11290322582</v>
      </c>
      <c r="AH70" s="264">
        <f t="shared" si="32"/>
        <v>6390.4388211652386</v>
      </c>
      <c r="AI70" s="264">
        <f t="shared" si="32"/>
        <v>3.7704918032786887</v>
      </c>
      <c r="AJ70" s="274">
        <f t="shared" si="32"/>
        <v>2.9130434782608696</v>
      </c>
    </row>
    <row r="71" spans="1:39" s="284" customFormat="1" ht="14.25" customHeight="1" thickTop="1" x14ac:dyDescent="0.2">
      <c r="A71" s="275" t="s">
        <v>226</v>
      </c>
      <c r="B71" s="1463" t="s">
        <v>227</v>
      </c>
      <c r="C71" s="1463"/>
      <c r="D71" s="1463"/>
      <c r="E71" s="1463"/>
      <c r="F71" s="1463"/>
      <c r="G71" s="1463"/>
      <c r="H71" s="1463"/>
      <c r="I71" s="1463"/>
      <c r="J71" s="1463"/>
      <c r="K71" s="276"/>
      <c r="L71" s="277" t="s">
        <v>228</v>
      </c>
      <c r="M71" s="278"/>
      <c r="N71" s="279"/>
      <c r="O71" s="279"/>
      <c r="P71" s="279"/>
      <c r="Q71" s="279"/>
      <c r="R71" s="279"/>
      <c r="S71" s="275"/>
      <c r="T71" s="277"/>
      <c r="U71" s="280"/>
      <c r="V71" s="280"/>
      <c r="W71" s="280"/>
      <c r="X71" s="280"/>
      <c r="Y71" s="280"/>
      <c r="Z71" s="281"/>
      <c r="AA71" s="281"/>
      <c r="AB71" s="280"/>
      <c r="AC71" s="280"/>
      <c r="AD71" s="281"/>
      <c r="AE71" s="282" t="s">
        <v>229</v>
      </c>
      <c r="AF71" s="283"/>
      <c r="AG71" s="283"/>
      <c r="AH71" s="283"/>
      <c r="AI71" s="283"/>
      <c r="AJ71" s="283"/>
      <c r="AK71" s="283"/>
      <c r="AL71" s="283"/>
      <c r="AM71" s="276"/>
    </row>
    <row r="72" spans="1:39" s="284" customFormat="1" ht="13.2" customHeight="1" x14ac:dyDescent="0.2">
      <c r="A72" s="1338"/>
      <c r="B72" s="1463" t="s">
        <v>230</v>
      </c>
      <c r="C72" s="1463"/>
      <c r="D72" s="1463"/>
      <c r="E72" s="1463"/>
      <c r="F72" s="1463"/>
      <c r="G72" s="1463"/>
      <c r="H72" s="1463"/>
      <c r="I72" s="1463"/>
      <c r="J72" s="1463"/>
      <c r="K72" s="1463"/>
      <c r="L72" s="278" t="s">
        <v>231</v>
      </c>
      <c r="T72" s="278"/>
      <c r="U72" s="280"/>
      <c r="V72" s="280"/>
      <c r="W72" s="280"/>
      <c r="X72" s="280"/>
      <c r="Y72" s="280"/>
      <c r="Z72" s="280"/>
      <c r="AA72" s="280"/>
      <c r="AB72" s="280"/>
      <c r="AC72" s="280"/>
      <c r="AD72" s="280"/>
      <c r="AE72" s="284" t="s">
        <v>232</v>
      </c>
      <c r="AF72" s="283"/>
      <c r="AG72" s="283"/>
      <c r="AH72" s="283"/>
      <c r="AI72" s="283"/>
      <c r="AJ72" s="283"/>
      <c r="AK72" s="283"/>
      <c r="AL72" s="283"/>
      <c r="AM72" s="283"/>
    </row>
    <row r="73" spans="1:39" s="284" customFormat="1" ht="14.4" customHeight="1" x14ac:dyDescent="0.2">
      <c r="B73" s="1463" t="s">
        <v>233</v>
      </c>
      <c r="C73" s="1463"/>
      <c r="D73" s="1463"/>
      <c r="E73" s="1463"/>
      <c r="F73" s="1463"/>
      <c r="G73" s="1463"/>
      <c r="H73" s="1463"/>
      <c r="I73" s="1463"/>
      <c r="J73" s="1463"/>
      <c r="K73" s="276"/>
      <c r="L73" s="278" t="s">
        <v>234</v>
      </c>
      <c r="S73" s="278"/>
      <c r="T73" s="278"/>
      <c r="AE73" s="284" t="s">
        <v>235</v>
      </c>
      <c r="AF73" s="285"/>
      <c r="AJ73" s="286"/>
    </row>
    <row r="74" spans="1:39" s="284" customFormat="1" ht="14.4" customHeight="1" x14ac:dyDescent="0.2">
      <c r="B74" s="1463" t="s">
        <v>236</v>
      </c>
      <c r="C74" s="1463"/>
      <c r="D74" s="1463"/>
      <c r="E74" s="1463"/>
      <c r="F74" s="1463"/>
      <c r="G74" s="1463"/>
      <c r="H74" s="1463"/>
      <c r="I74" s="1463"/>
      <c r="J74" s="1463"/>
      <c r="K74" s="1463"/>
      <c r="L74" s="1333" t="s">
        <v>851</v>
      </c>
      <c r="M74" s="1333"/>
      <c r="N74" s="1333"/>
      <c r="O74" s="1333"/>
      <c r="P74" s="1333"/>
      <c r="Q74" s="1333"/>
      <c r="S74" s="286"/>
      <c r="AE74" s="287"/>
      <c r="AF74" s="285"/>
      <c r="AJ74" s="286"/>
    </row>
    <row r="75" spans="1:39" s="284" customFormat="1" ht="14.4" customHeight="1" x14ac:dyDescent="0.2">
      <c r="A75" s="288"/>
      <c r="B75" s="1483"/>
      <c r="C75" s="1483"/>
      <c r="D75" s="1483"/>
      <c r="E75" s="1483"/>
      <c r="F75" s="1483"/>
      <c r="G75" s="1483"/>
      <c r="H75" s="1483"/>
      <c r="I75" s="1483"/>
      <c r="J75" s="1483"/>
      <c r="K75" s="276"/>
      <c r="L75" s="1333" t="s">
        <v>845</v>
      </c>
      <c r="M75" s="1333"/>
      <c r="N75" s="1333"/>
      <c r="O75" s="1333"/>
      <c r="P75" s="1333"/>
      <c r="Q75" s="1333"/>
      <c r="S75" s="286"/>
      <c r="AE75" s="286"/>
      <c r="AF75" s="285"/>
      <c r="AJ75" s="286"/>
    </row>
    <row r="76" spans="1:39" ht="13.95" customHeight="1" x14ac:dyDescent="0.2">
      <c r="B76" s="1484"/>
      <c r="C76" s="1484"/>
      <c r="D76" s="1484"/>
      <c r="E76" s="1484"/>
      <c r="F76" s="1484"/>
      <c r="G76" s="1484"/>
      <c r="H76"/>
      <c r="I76"/>
      <c r="J76"/>
      <c r="K76"/>
    </row>
  </sheetData>
  <autoFilter ref="A6:AM73" xr:uid="{1E630A61-E775-48D5-B4B2-B561D886306D}"/>
  <mergeCells count="32">
    <mergeCell ref="B74:K74"/>
    <mergeCell ref="B75:J75"/>
    <mergeCell ref="B76:G76"/>
    <mergeCell ref="AF4:AF5"/>
    <mergeCell ref="AG4:AG5"/>
    <mergeCell ref="R3:R5"/>
    <mergeCell ref="U3:X3"/>
    <mergeCell ref="Y3:Y5"/>
    <mergeCell ref="Z3:Z5"/>
    <mergeCell ref="AA3:AD3"/>
    <mergeCell ref="AD4:AD5"/>
    <mergeCell ref="AH4:AH5"/>
    <mergeCell ref="B71:J71"/>
    <mergeCell ref="B72:K72"/>
    <mergeCell ref="B73:J73"/>
    <mergeCell ref="AE3:AE5"/>
    <mergeCell ref="AF3:AH3"/>
    <mergeCell ref="K4:K5"/>
    <mergeCell ref="U4:U5"/>
    <mergeCell ref="V4:V5"/>
    <mergeCell ref="W4:W5"/>
    <mergeCell ref="X4:X5"/>
    <mergeCell ref="AA4:AA5"/>
    <mergeCell ref="AB4:AB5"/>
    <mergeCell ref="AC4:AC5"/>
    <mergeCell ref="S3:S5"/>
    <mergeCell ref="T3:T5"/>
    <mergeCell ref="F2:J2"/>
    <mergeCell ref="B3:B5"/>
    <mergeCell ref="H3:K3"/>
    <mergeCell ref="L3:N3"/>
    <mergeCell ref="Q3:Q5"/>
  </mergeCells>
  <phoneticPr fontId="2"/>
  <dataValidations count="2">
    <dataValidation allowBlank="1" showInputMessage="1" showErrorMessage="1" sqref="M14:AJ14 B14:G14 I14:K14" xr:uid="{9261795A-D7EE-4D02-91C3-05656B5AE882}"/>
    <dataValidation imeMode="disabled" allowBlank="1" showInputMessage="1" showErrorMessage="1" sqref="M7:AJ13 B7:G13 I7:K13 H7:H38 I15:K38 B15:G38 L7:L38 M15:AJ38 B39:AJ68" xr:uid="{3116AA4D-8628-4680-BD74-9BD3029F5D98}"/>
  </dataValidations>
  <pageMargins left="0.74803149606299213" right="0.23622047244094491" top="0.98425196850393704" bottom="0.39370078740157483" header="0.59055118110236227" footer="0.31496062992125984"/>
  <pageSetup paperSize="9" scale="69" firstPageNumber="4" orientation="portrait" r:id="rId1"/>
  <headerFooter alignWithMargins="0">
    <oddHeader>&amp;L&amp;16 １　市　勢</oddHeader>
  </headerFooter>
  <colBreaks count="4" manualBreakCount="4">
    <brk id="11" max="1048575" man="1"/>
    <brk id="19" min="2" max="74" man="1"/>
    <brk id="26" min="2" max="74" man="1"/>
    <brk id="30" min="2" max="7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54BC0-278B-47E8-B52C-C5F2FB0BE81F}">
  <dimension ref="A1:AE80"/>
  <sheetViews>
    <sheetView showGridLines="0" view="pageBreakPreview" zoomScale="85" zoomScaleNormal="90" zoomScaleSheetLayoutView="85" workbookViewId="0">
      <pane xSplit="1" ySplit="6" topLeftCell="B64" activePane="bottomRight" state="frozen"/>
      <selection activeCell="E12" sqref="E12"/>
      <selection pane="topRight" activeCell="E12" sqref="E12"/>
      <selection pane="bottomLeft" activeCell="E12" sqref="E12"/>
      <selection pane="bottomRight" activeCell="B76" sqref="B76"/>
    </sheetView>
  </sheetViews>
  <sheetFormatPr defaultColWidth="8.88671875" defaultRowHeight="13.2" x14ac:dyDescent="0.2"/>
  <cols>
    <col min="1" max="1" width="12.44140625" customWidth="1"/>
    <col min="2" max="2" width="9.33203125" customWidth="1"/>
    <col min="3" max="3" width="11" customWidth="1"/>
    <col min="4" max="4" width="9.109375" customWidth="1"/>
    <col min="5" max="5" width="10.44140625" customWidth="1"/>
    <col min="6" max="6" width="11.6640625" customWidth="1"/>
    <col min="7" max="7" width="11.109375" customWidth="1"/>
    <col min="8" max="8" width="14.6640625" customWidth="1"/>
    <col min="9" max="9" width="13" customWidth="1"/>
    <col min="10" max="10" width="10.109375" customWidth="1"/>
    <col min="11" max="11" width="13" customWidth="1"/>
  </cols>
  <sheetData>
    <row r="1" spans="1:31" ht="19.2" x14ac:dyDescent="0.2">
      <c r="A1" s="52" t="s">
        <v>237</v>
      </c>
    </row>
    <row r="2" spans="1:31" ht="18.75" customHeight="1" x14ac:dyDescent="0.2">
      <c r="B2" s="52"/>
      <c r="J2" s="52"/>
    </row>
    <row r="3" spans="1:31" ht="17.25" customHeight="1" x14ac:dyDescent="0.2">
      <c r="A3" s="61" t="s">
        <v>84</v>
      </c>
      <c r="B3" s="290" t="s">
        <v>238</v>
      </c>
      <c r="C3" s="291"/>
      <c r="D3" s="1453" t="s">
        <v>239</v>
      </c>
      <c r="E3" s="1492"/>
      <c r="F3" s="1492"/>
      <c r="G3" s="1493"/>
      <c r="H3" s="1494" t="s">
        <v>240</v>
      </c>
      <c r="I3" s="1497" t="s">
        <v>241</v>
      </c>
      <c r="J3" s="292" t="s">
        <v>242</v>
      </c>
      <c r="K3" s="293"/>
    </row>
    <row r="4" spans="1:31" ht="17.25" customHeight="1" x14ac:dyDescent="0.2">
      <c r="A4" s="294"/>
      <c r="B4" s="295"/>
      <c r="C4" s="1499" t="s">
        <v>243</v>
      </c>
      <c r="D4" s="1501"/>
      <c r="E4" s="1502"/>
      <c r="F4" s="1503" t="s">
        <v>244</v>
      </c>
      <c r="G4" s="1499" t="s">
        <v>245</v>
      </c>
      <c r="H4" s="1495"/>
      <c r="I4" s="1498"/>
      <c r="J4" s="296"/>
      <c r="K4" s="1505" t="s">
        <v>246</v>
      </c>
    </row>
    <row r="5" spans="1:31" ht="17.25" customHeight="1" x14ac:dyDescent="0.2">
      <c r="A5" s="294"/>
      <c r="B5" s="295"/>
      <c r="C5" s="1500"/>
      <c r="D5" s="297" t="s">
        <v>247</v>
      </c>
      <c r="E5" s="298" t="s">
        <v>248</v>
      </c>
      <c r="F5" s="1504"/>
      <c r="G5" s="1500"/>
      <c r="H5" s="1496"/>
      <c r="I5" s="1498"/>
      <c r="J5" s="296"/>
      <c r="K5" s="1506"/>
    </row>
    <row r="6" spans="1:31" ht="17.25" customHeight="1" x14ac:dyDescent="0.2">
      <c r="A6" s="91" t="s">
        <v>128</v>
      </c>
      <c r="B6" s="92" t="s">
        <v>129</v>
      </c>
      <c r="C6" s="94" t="s">
        <v>131</v>
      </c>
      <c r="D6" s="94" t="s">
        <v>129</v>
      </c>
      <c r="E6" s="96" t="s">
        <v>129</v>
      </c>
      <c r="F6" s="96" t="s">
        <v>249</v>
      </c>
      <c r="G6" s="94" t="s">
        <v>250</v>
      </c>
      <c r="H6" s="96"/>
      <c r="I6" s="96" t="s">
        <v>131</v>
      </c>
      <c r="J6" s="299" t="s">
        <v>131</v>
      </c>
      <c r="K6" s="300" t="s">
        <v>131</v>
      </c>
    </row>
    <row r="7" spans="1:31" s="57" customFormat="1" ht="15.75" customHeight="1" x14ac:dyDescent="0.2">
      <c r="A7" s="102" t="s">
        <v>142</v>
      </c>
      <c r="B7" s="301">
        <v>3315</v>
      </c>
      <c r="C7" s="179">
        <v>0.9</v>
      </c>
      <c r="D7" s="106">
        <v>1258</v>
      </c>
      <c r="E7" s="105">
        <v>4.9000000000000004</v>
      </c>
      <c r="F7" s="105">
        <v>43.1</v>
      </c>
      <c r="G7" s="106">
        <v>318200</v>
      </c>
      <c r="H7" s="105">
        <v>97.5</v>
      </c>
      <c r="I7" s="109">
        <v>26.5</v>
      </c>
      <c r="J7" s="109">
        <v>15.1</v>
      </c>
      <c r="K7" s="115">
        <v>16.399999999999999</v>
      </c>
    </row>
    <row r="8" spans="1:31" s="57" customFormat="1" ht="15.75" customHeight="1" x14ac:dyDescent="0.2">
      <c r="A8" s="121" t="s">
        <v>144</v>
      </c>
      <c r="B8" s="302">
        <v>2985</v>
      </c>
      <c r="C8" s="131">
        <v>0.5</v>
      </c>
      <c r="D8" s="125">
        <v>1525</v>
      </c>
      <c r="E8" s="124">
        <v>4.5999999999999996</v>
      </c>
      <c r="F8" s="152">
        <v>42.8</v>
      </c>
      <c r="G8" s="125">
        <v>318200</v>
      </c>
      <c r="H8" s="124">
        <v>98.8</v>
      </c>
      <c r="I8" s="127">
        <v>26.3</v>
      </c>
      <c r="J8" s="127">
        <v>11.8</v>
      </c>
      <c r="K8" s="132">
        <v>11.1</v>
      </c>
    </row>
    <row r="9" spans="1:31" s="57" customFormat="1" ht="15.75" customHeight="1" x14ac:dyDescent="0.2">
      <c r="A9" s="102" t="s">
        <v>145</v>
      </c>
      <c r="B9" s="301">
        <v>2447</v>
      </c>
      <c r="C9" s="141">
        <v>0.3</v>
      </c>
      <c r="D9" s="106">
        <v>1263</v>
      </c>
      <c r="E9" s="105">
        <v>4.5</v>
      </c>
      <c r="F9" s="105">
        <v>42.3</v>
      </c>
      <c r="G9" s="106">
        <v>314300</v>
      </c>
      <c r="H9" s="105">
        <v>97.2</v>
      </c>
      <c r="I9" s="303">
        <v>24</v>
      </c>
      <c r="J9" s="303">
        <v>14.9</v>
      </c>
      <c r="K9" s="304">
        <v>10.4</v>
      </c>
    </row>
    <row r="10" spans="1:31" s="57" customFormat="1" ht="15.75" customHeight="1" x14ac:dyDescent="0.2">
      <c r="A10" s="121" t="s">
        <v>147</v>
      </c>
      <c r="B10" s="302">
        <v>2393</v>
      </c>
      <c r="C10" s="1020">
        <v>1.1000000000000001</v>
      </c>
      <c r="D10" s="125">
        <v>1028</v>
      </c>
      <c r="E10" s="124">
        <v>4.5</v>
      </c>
      <c r="F10" s="152">
        <v>39</v>
      </c>
      <c r="G10" s="125">
        <v>298300</v>
      </c>
      <c r="H10" s="124">
        <v>98.5</v>
      </c>
      <c r="I10" s="127">
        <v>27.6</v>
      </c>
      <c r="J10" s="127">
        <v>14.6</v>
      </c>
      <c r="K10" s="132">
        <v>8.9</v>
      </c>
      <c r="L10" s="1"/>
      <c r="M10" s="1"/>
      <c r="N10" s="1"/>
      <c r="O10" s="1"/>
      <c r="P10" s="1"/>
      <c r="S10" s="1"/>
      <c r="T10" s="1"/>
      <c r="U10" s="1"/>
      <c r="V10" s="1"/>
      <c r="W10" s="1"/>
      <c r="X10" s="1"/>
      <c r="Y10" s="1"/>
      <c r="Z10" s="1"/>
      <c r="AA10" s="1"/>
      <c r="AB10" s="1"/>
      <c r="AC10" s="1"/>
      <c r="AD10" s="1"/>
      <c r="AE10" s="1"/>
    </row>
    <row r="11" spans="1:31" s="57" customFormat="1" ht="15.75" customHeight="1" x14ac:dyDescent="0.2">
      <c r="A11" s="102" t="s">
        <v>148</v>
      </c>
      <c r="B11" s="301">
        <v>2211</v>
      </c>
      <c r="C11" s="1024">
        <v>0.3</v>
      </c>
      <c r="D11" s="106">
        <v>1169</v>
      </c>
      <c r="E11" s="105">
        <v>4</v>
      </c>
      <c r="F11" s="105">
        <v>41.5</v>
      </c>
      <c r="G11" s="106">
        <v>308000</v>
      </c>
      <c r="H11" s="105">
        <v>99.4</v>
      </c>
      <c r="I11" s="109">
        <v>29.9</v>
      </c>
      <c r="J11" s="109">
        <v>10.5</v>
      </c>
      <c r="K11" s="142">
        <v>8.4</v>
      </c>
      <c r="L11"/>
      <c r="M11"/>
      <c r="N11"/>
      <c r="O11"/>
      <c r="P11"/>
      <c r="S11"/>
      <c r="T11"/>
      <c r="U11"/>
      <c r="V11"/>
      <c r="W11"/>
      <c r="X11"/>
      <c r="Y11"/>
      <c r="Z11"/>
      <c r="AA11"/>
      <c r="AB11"/>
      <c r="AC11"/>
      <c r="AD11"/>
      <c r="AE11"/>
    </row>
    <row r="12" spans="1:31" s="57" customFormat="1" ht="15.75" customHeight="1" x14ac:dyDescent="0.2">
      <c r="A12" s="121" t="s">
        <v>149</v>
      </c>
      <c r="B12" s="305">
        <v>2596</v>
      </c>
      <c r="C12" s="1025">
        <v>1.4</v>
      </c>
      <c r="D12" s="163">
        <v>1414</v>
      </c>
      <c r="E12" s="188">
        <v>4.5999999999999996</v>
      </c>
      <c r="F12" s="152">
        <v>42.6</v>
      </c>
      <c r="G12" s="163">
        <v>311300</v>
      </c>
      <c r="H12" s="162">
        <v>98</v>
      </c>
      <c r="I12" s="200">
        <v>23.6</v>
      </c>
      <c r="J12" s="200">
        <v>15.7</v>
      </c>
      <c r="K12" s="164">
        <v>13.3</v>
      </c>
    </row>
    <row r="13" spans="1:31" s="57" customFormat="1" ht="15.75" customHeight="1" x14ac:dyDescent="0.2">
      <c r="A13" s="169" t="s">
        <v>150</v>
      </c>
      <c r="B13" s="306">
        <v>2445</v>
      </c>
      <c r="C13" s="1017">
        <v>1.2</v>
      </c>
      <c r="D13" s="138">
        <v>912</v>
      </c>
      <c r="E13" s="172">
        <v>3.7</v>
      </c>
      <c r="F13" s="171">
        <v>41.2</v>
      </c>
      <c r="G13" s="138">
        <v>322000</v>
      </c>
      <c r="H13" s="171">
        <v>100.8</v>
      </c>
      <c r="I13" s="196">
        <v>30.9</v>
      </c>
      <c r="J13" s="196">
        <v>21</v>
      </c>
      <c r="K13" s="180">
        <v>12.9</v>
      </c>
    </row>
    <row r="14" spans="1:31" s="57" customFormat="1" ht="15.75" customHeight="1" x14ac:dyDescent="0.2">
      <c r="A14" s="121" t="s">
        <v>151</v>
      </c>
      <c r="B14" s="305">
        <v>2185</v>
      </c>
      <c r="C14" s="1026">
        <v>2.2999999999999998</v>
      </c>
      <c r="D14" s="163">
        <v>1194</v>
      </c>
      <c r="E14" s="162">
        <v>4.3</v>
      </c>
      <c r="F14" s="162">
        <v>39.5</v>
      </c>
      <c r="G14" s="163">
        <v>314000</v>
      </c>
      <c r="H14" s="162">
        <v>101.5</v>
      </c>
      <c r="I14" s="200">
        <v>32.6</v>
      </c>
      <c r="J14" s="307">
        <v>8.6999999999999993</v>
      </c>
      <c r="K14" s="308">
        <v>11.1</v>
      </c>
    </row>
    <row r="15" spans="1:31" s="57" customFormat="1" ht="15.75" customHeight="1" x14ac:dyDescent="0.2">
      <c r="A15" s="169" t="s">
        <v>153</v>
      </c>
      <c r="B15" s="306">
        <v>2043</v>
      </c>
      <c r="C15" s="1017">
        <v>0.2</v>
      </c>
      <c r="D15" s="138">
        <v>1241</v>
      </c>
      <c r="E15" s="171">
        <v>3.9</v>
      </c>
      <c r="F15" s="171">
        <v>42.5</v>
      </c>
      <c r="G15" s="138">
        <v>337963</v>
      </c>
      <c r="H15" s="171">
        <v>101.3</v>
      </c>
      <c r="I15" s="196">
        <v>28.5</v>
      </c>
      <c r="J15" s="196">
        <v>6.9</v>
      </c>
      <c r="K15" s="180">
        <v>8</v>
      </c>
    </row>
    <row r="16" spans="1:31" s="57" customFormat="1" ht="15.75" customHeight="1" x14ac:dyDescent="0.2">
      <c r="A16" s="121" t="s">
        <v>154</v>
      </c>
      <c r="B16" s="305">
        <v>3735</v>
      </c>
      <c r="C16" s="1026">
        <v>2.2000000000000002</v>
      </c>
      <c r="D16" s="163">
        <v>1514</v>
      </c>
      <c r="E16" s="162">
        <v>4.7</v>
      </c>
      <c r="F16" s="162">
        <v>41.8</v>
      </c>
      <c r="G16" s="163">
        <v>325300</v>
      </c>
      <c r="H16" s="162">
        <v>101</v>
      </c>
      <c r="I16" s="200">
        <v>30.4</v>
      </c>
      <c r="J16" s="200">
        <v>10.199999999999999</v>
      </c>
      <c r="K16" s="164">
        <v>7.9</v>
      </c>
    </row>
    <row r="17" spans="1:11" s="57" customFormat="1" ht="15.75" customHeight="1" x14ac:dyDescent="0.2">
      <c r="A17" s="169" t="s">
        <v>155</v>
      </c>
      <c r="B17" s="306">
        <v>2085</v>
      </c>
      <c r="C17" s="1017">
        <v>0.3</v>
      </c>
      <c r="D17" s="138">
        <v>1262</v>
      </c>
      <c r="E17" s="171">
        <v>4.6500000000000004</v>
      </c>
      <c r="F17" s="171">
        <v>39.9</v>
      </c>
      <c r="G17" s="138">
        <v>303400</v>
      </c>
      <c r="H17" s="196">
        <v>100.1</v>
      </c>
      <c r="I17" s="196">
        <v>33.4</v>
      </c>
      <c r="J17" s="196">
        <v>15.4</v>
      </c>
      <c r="K17" s="180">
        <v>11.9</v>
      </c>
    </row>
    <row r="18" spans="1:11" s="57" customFormat="1" ht="15.75" customHeight="1" x14ac:dyDescent="0.2">
      <c r="A18" s="121" t="s">
        <v>157</v>
      </c>
      <c r="B18" s="305">
        <v>3292</v>
      </c>
      <c r="C18" s="1026">
        <v>0.6</v>
      </c>
      <c r="D18" s="163">
        <v>1988</v>
      </c>
      <c r="E18" s="162">
        <v>3.8201000000000001</v>
      </c>
      <c r="F18" s="162">
        <v>41.9</v>
      </c>
      <c r="G18" s="163">
        <v>325708</v>
      </c>
      <c r="H18" s="162">
        <v>101.9</v>
      </c>
      <c r="I18" s="200">
        <v>26</v>
      </c>
      <c r="J18" s="200">
        <v>13.3</v>
      </c>
      <c r="K18" s="164">
        <v>14.6</v>
      </c>
    </row>
    <row r="19" spans="1:11" s="57" customFormat="1" ht="15.75" customHeight="1" x14ac:dyDescent="0.2">
      <c r="A19" s="169" t="s">
        <v>158</v>
      </c>
      <c r="B19" s="306">
        <v>2586</v>
      </c>
      <c r="C19" s="179">
        <v>-0.4</v>
      </c>
      <c r="D19" s="138">
        <v>1323</v>
      </c>
      <c r="E19" s="171">
        <v>3.9</v>
      </c>
      <c r="F19" s="171">
        <v>42.4</v>
      </c>
      <c r="G19" s="138">
        <v>326300</v>
      </c>
      <c r="H19" s="171">
        <v>99.3</v>
      </c>
      <c r="I19" s="196">
        <v>22.5</v>
      </c>
      <c r="J19" s="196">
        <v>9.1999999999999993</v>
      </c>
      <c r="K19" s="180">
        <v>9.6</v>
      </c>
    </row>
    <row r="20" spans="1:11" s="57" customFormat="1" ht="15.75" customHeight="1" x14ac:dyDescent="0.2">
      <c r="A20" s="121" t="s">
        <v>159</v>
      </c>
      <c r="B20" s="305">
        <v>2359</v>
      </c>
      <c r="C20" s="192">
        <v>0.4</v>
      </c>
      <c r="D20" s="163">
        <v>1463</v>
      </c>
      <c r="E20" s="162">
        <v>3.9</v>
      </c>
      <c r="F20" s="162">
        <v>42.5</v>
      </c>
      <c r="G20" s="163">
        <v>329295</v>
      </c>
      <c r="H20" s="162">
        <v>99.8</v>
      </c>
      <c r="I20" s="200">
        <v>25.8</v>
      </c>
      <c r="J20" s="200">
        <v>10.9</v>
      </c>
      <c r="K20" s="164">
        <v>12.7</v>
      </c>
    </row>
    <row r="21" spans="1:11" s="57" customFormat="1" ht="15.75" customHeight="1" x14ac:dyDescent="0.2">
      <c r="A21" s="169" t="s">
        <v>163</v>
      </c>
      <c r="B21" s="306">
        <v>2327</v>
      </c>
      <c r="C21" s="179">
        <v>1.22</v>
      </c>
      <c r="D21" s="138">
        <v>1308</v>
      </c>
      <c r="E21" s="171">
        <v>3.7</v>
      </c>
      <c r="F21" s="171">
        <v>41.8</v>
      </c>
      <c r="G21" s="138">
        <v>319400</v>
      </c>
      <c r="H21" s="196">
        <v>102</v>
      </c>
      <c r="I21" s="196">
        <v>28.6</v>
      </c>
      <c r="J21" s="196">
        <v>9.5</v>
      </c>
      <c r="K21" s="180">
        <v>8.6999999999999993</v>
      </c>
    </row>
    <row r="22" spans="1:11" s="57" customFormat="1" ht="15.75" customHeight="1" x14ac:dyDescent="0.2">
      <c r="A22" s="121" t="s">
        <v>166</v>
      </c>
      <c r="B22" s="305">
        <v>4661</v>
      </c>
      <c r="C22" s="192">
        <v>0.5</v>
      </c>
      <c r="D22" s="163">
        <v>1712</v>
      </c>
      <c r="E22" s="162">
        <v>2.8</v>
      </c>
      <c r="F22" s="162">
        <v>39.700000000000003</v>
      </c>
      <c r="G22" s="163">
        <v>313124</v>
      </c>
      <c r="H22" s="162">
        <v>102.1</v>
      </c>
      <c r="I22" s="200">
        <v>28.5</v>
      </c>
      <c r="J22" s="200">
        <v>12.2</v>
      </c>
      <c r="K22" s="164">
        <v>10.7</v>
      </c>
    </row>
    <row r="23" spans="1:11" s="57" customFormat="1" ht="15.75" customHeight="1" x14ac:dyDescent="0.2">
      <c r="A23" s="169" t="s">
        <v>167</v>
      </c>
      <c r="B23" s="306">
        <v>2823</v>
      </c>
      <c r="C23" s="179">
        <v>0.5</v>
      </c>
      <c r="D23" s="138">
        <v>1021</v>
      </c>
      <c r="E23" s="171">
        <v>3</v>
      </c>
      <c r="F23" s="171">
        <v>39.6</v>
      </c>
      <c r="G23" s="138">
        <v>309200</v>
      </c>
      <c r="H23" s="171">
        <v>102.9</v>
      </c>
      <c r="I23" s="196">
        <v>33.450000000000003</v>
      </c>
      <c r="J23" s="196">
        <v>19.2</v>
      </c>
      <c r="K23" s="180">
        <v>14.4</v>
      </c>
    </row>
    <row r="24" spans="1:11" s="57" customFormat="1" ht="15.75" customHeight="1" x14ac:dyDescent="0.2">
      <c r="A24" s="121" t="s">
        <v>168</v>
      </c>
      <c r="B24" s="305">
        <v>5011</v>
      </c>
      <c r="C24" s="192">
        <v>0.58199999999999996</v>
      </c>
      <c r="D24" s="163">
        <v>1986</v>
      </c>
      <c r="E24" s="162">
        <v>3.08</v>
      </c>
      <c r="F24" s="152">
        <v>39.5</v>
      </c>
      <c r="G24" s="163">
        <v>299800</v>
      </c>
      <c r="H24" s="162">
        <v>100.2</v>
      </c>
      <c r="I24" s="200">
        <v>30</v>
      </c>
      <c r="J24" s="200">
        <v>8.1999999999999993</v>
      </c>
      <c r="K24" s="164">
        <v>11.2</v>
      </c>
    </row>
    <row r="25" spans="1:11" s="57" customFormat="1" ht="15.75" customHeight="1" x14ac:dyDescent="0.2">
      <c r="A25" s="169" t="s">
        <v>171</v>
      </c>
      <c r="B25" s="301">
        <v>2756</v>
      </c>
      <c r="C25" s="179">
        <v>1.1000000000000001</v>
      </c>
      <c r="D25" s="106">
        <v>1271</v>
      </c>
      <c r="E25" s="105">
        <v>2.9</v>
      </c>
      <c r="F25" s="105">
        <v>39.799999999999997</v>
      </c>
      <c r="G25" s="106">
        <v>303100</v>
      </c>
      <c r="H25" s="105">
        <v>102.3</v>
      </c>
      <c r="I25" s="109">
        <v>34.700000000000003</v>
      </c>
      <c r="J25" s="109">
        <v>14.3</v>
      </c>
      <c r="K25" s="142">
        <v>14.6</v>
      </c>
    </row>
    <row r="26" spans="1:11" s="57" customFormat="1" ht="15.75" customHeight="1" x14ac:dyDescent="0.2">
      <c r="A26" s="121" t="s">
        <v>172</v>
      </c>
      <c r="B26" s="305">
        <v>2880</v>
      </c>
      <c r="C26" s="192">
        <v>1.8</v>
      </c>
      <c r="D26" s="163">
        <v>2021</v>
      </c>
      <c r="E26" s="162">
        <v>3.6</v>
      </c>
      <c r="F26" s="152">
        <v>42.8</v>
      </c>
      <c r="G26" s="163">
        <v>318900</v>
      </c>
      <c r="H26" s="162">
        <v>97.9</v>
      </c>
      <c r="I26" s="200">
        <v>26.5</v>
      </c>
      <c r="J26" s="200">
        <v>14.2</v>
      </c>
      <c r="K26" s="164">
        <v>13.3</v>
      </c>
    </row>
    <row r="27" spans="1:11" s="57" customFormat="1" ht="15.75" customHeight="1" x14ac:dyDescent="0.2">
      <c r="A27" s="169" t="s">
        <v>173</v>
      </c>
      <c r="B27" s="301">
        <v>3344</v>
      </c>
      <c r="C27" s="141">
        <v>1.4</v>
      </c>
      <c r="D27" s="106">
        <v>1573</v>
      </c>
      <c r="E27" s="105">
        <v>3.9</v>
      </c>
      <c r="F27" s="105">
        <v>42.6</v>
      </c>
      <c r="G27" s="106">
        <v>317500</v>
      </c>
      <c r="H27" s="105">
        <v>100.6</v>
      </c>
      <c r="I27" s="109">
        <v>29</v>
      </c>
      <c r="J27" s="309">
        <v>10.9</v>
      </c>
      <c r="K27" s="142">
        <v>12.1</v>
      </c>
    </row>
    <row r="28" spans="1:11" s="57" customFormat="1" ht="15.75" customHeight="1" x14ac:dyDescent="0.2">
      <c r="A28" s="121" t="s">
        <v>174</v>
      </c>
      <c r="B28" s="305">
        <v>4032</v>
      </c>
      <c r="C28" s="192">
        <v>1.3</v>
      </c>
      <c r="D28" s="163">
        <v>1466</v>
      </c>
      <c r="E28" s="162">
        <v>3.5</v>
      </c>
      <c r="F28" s="152">
        <v>40.6</v>
      </c>
      <c r="G28" s="163">
        <v>320000</v>
      </c>
      <c r="H28" s="162">
        <v>100.8</v>
      </c>
      <c r="I28" s="200">
        <v>26.8</v>
      </c>
      <c r="J28" s="200">
        <v>14.6</v>
      </c>
      <c r="K28" s="164">
        <v>10.1</v>
      </c>
    </row>
    <row r="29" spans="1:11" s="57" customFormat="1" ht="15.75" customHeight="1" x14ac:dyDescent="0.2">
      <c r="A29" s="169" t="s">
        <v>175</v>
      </c>
      <c r="B29" s="301">
        <v>3235</v>
      </c>
      <c r="C29" s="141">
        <v>-0.2</v>
      </c>
      <c r="D29" s="106">
        <v>1379</v>
      </c>
      <c r="E29" s="105">
        <v>3.1</v>
      </c>
      <c r="F29" s="105">
        <v>41.3</v>
      </c>
      <c r="G29" s="106">
        <v>318500</v>
      </c>
      <c r="H29" s="105">
        <v>99.4</v>
      </c>
      <c r="I29" s="109">
        <v>26.9</v>
      </c>
      <c r="J29" s="109">
        <v>12.1</v>
      </c>
      <c r="K29" s="142">
        <v>8.6</v>
      </c>
    </row>
    <row r="30" spans="1:11" s="57" customFormat="1" ht="15.75" customHeight="1" x14ac:dyDescent="0.2">
      <c r="A30" s="121" t="s">
        <v>251</v>
      </c>
      <c r="B30" s="305">
        <v>2330</v>
      </c>
      <c r="C30" s="192">
        <v>-0.9</v>
      </c>
      <c r="D30" s="163">
        <v>1433</v>
      </c>
      <c r="E30" s="162">
        <v>5.4</v>
      </c>
      <c r="F30" s="152">
        <v>42.4</v>
      </c>
      <c r="G30" s="163">
        <v>328100</v>
      </c>
      <c r="H30" s="162">
        <v>100.2</v>
      </c>
      <c r="I30" s="200">
        <v>31.8</v>
      </c>
      <c r="J30" s="200">
        <v>18.2</v>
      </c>
      <c r="K30" s="164">
        <v>23.3</v>
      </c>
    </row>
    <row r="31" spans="1:11" s="57" customFormat="1" ht="15.75" customHeight="1" x14ac:dyDescent="0.2">
      <c r="A31" s="169" t="s">
        <v>178</v>
      </c>
      <c r="B31" s="301">
        <v>1756</v>
      </c>
      <c r="C31" s="141">
        <v>-0.22727272727272699</v>
      </c>
      <c r="D31" s="106">
        <v>794</v>
      </c>
      <c r="E31" s="105">
        <v>4.2421101559536467</v>
      </c>
      <c r="F31" s="105">
        <v>42.7</v>
      </c>
      <c r="G31" s="106">
        <v>315100</v>
      </c>
      <c r="H31" s="105">
        <v>99.1</v>
      </c>
      <c r="I31" s="109">
        <v>23.6</v>
      </c>
      <c r="J31" s="109">
        <v>8.3000000000000007</v>
      </c>
      <c r="K31" s="142">
        <v>4.7</v>
      </c>
    </row>
    <row r="32" spans="1:11" s="57" customFormat="1" ht="15.75" customHeight="1" x14ac:dyDescent="0.2">
      <c r="A32" s="121" t="s">
        <v>179</v>
      </c>
      <c r="B32" s="305">
        <v>2833</v>
      </c>
      <c r="C32" s="192">
        <v>0.7</v>
      </c>
      <c r="D32" s="163">
        <v>1542</v>
      </c>
      <c r="E32" s="162">
        <v>4.1100000000000003</v>
      </c>
      <c r="F32" s="152">
        <v>44.4</v>
      </c>
      <c r="G32" s="163">
        <v>340600</v>
      </c>
      <c r="H32" s="162">
        <v>100.2</v>
      </c>
      <c r="I32" s="200">
        <v>32.799999999999997</v>
      </c>
      <c r="J32" s="200">
        <v>8.8000000000000007</v>
      </c>
      <c r="K32" s="164">
        <v>6.8</v>
      </c>
    </row>
    <row r="33" spans="1:11" s="57" customFormat="1" ht="15.75" customHeight="1" x14ac:dyDescent="0.2">
      <c r="A33" s="169" t="s">
        <v>252</v>
      </c>
      <c r="B33" s="301">
        <v>2099</v>
      </c>
      <c r="C33" s="141">
        <v>1.5</v>
      </c>
      <c r="D33" s="106">
        <v>1025</v>
      </c>
      <c r="E33" s="105">
        <v>4.3</v>
      </c>
      <c r="F33" s="105">
        <v>42.9</v>
      </c>
      <c r="G33" s="106">
        <v>321400</v>
      </c>
      <c r="H33" s="105">
        <v>99.2</v>
      </c>
      <c r="I33" s="109">
        <v>32.6</v>
      </c>
      <c r="J33" s="109">
        <v>11</v>
      </c>
      <c r="K33" s="142">
        <v>12.4</v>
      </c>
    </row>
    <row r="34" spans="1:11" s="57" customFormat="1" ht="15.75" customHeight="1" x14ac:dyDescent="0.2">
      <c r="A34" s="121" t="s">
        <v>181</v>
      </c>
      <c r="B34" s="305">
        <v>4137</v>
      </c>
      <c r="C34" s="192">
        <v>1.2</v>
      </c>
      <c r="D34" s="163">
        <v>1424</v>
      </c>
      <c r="E34" s="162">
        <v>3.5</v>
      </c>
      <c r="F34" s="162">
        <v>41.2</v>
      </c>
      <c r="G34" s="163">
        <v>322000</v>
      </c>
      <c r="H34" s="162">
        <v>100.9</v>
      </c>
      <c r="I34" s="200">
        <v>27.3</v>
      </c>
      <c r="J34" s="200">
        <v>12.9</v>
      </c>
      <c r="K34" s="310">
        <v>7.7</v>
      </c>
    </row>
    <row r="35" spans="1:11" s="57" customFormat="1" ht="15.75" customHeight="1" x14ac:dyDescent="0.2">
      <c r="A35" s="169" t="s">
        <v>182</v>
      </c>
      <c r="B35" s="306">
        <v>3746</v>
      </c>
      <c r="C35" s="179">
        <v>1.7</v>
      </c>
      <c r="D35" s="138">
        <v>1239</v>
      </c>
      <c r="E35" s="171">
        <v>3.3</v>
      </c>
      <c r="F35" s="171">
        <v>39.4</v>
      </c>
      <c r="G35" s="138">
        <v>321400</v>
      </c>
      <c r="H35" s="171">
        <v>99.4</v>
      </c>
      <c r="I35" s="196">
        <v>29.48</v>
      </c>
      <c r="J35" s="196">
        <v>14.1</v>
      </c>
      <c r="K35" s="180">
        <v>13.5</v>
      </c>
    </row>
    <row r="36" spans="1:11" s="57" customFormat="1" ht="15.75" customHeight="1" x14ac:dyDescent="0.2">
      <c r="A36" s="121" t="s">
        <v>183</v>
      </c>
      <c r="B36" s="305">
        <v>3945</v>
      </c>
      <c r="C36" s="192">
        <v>2.68</v>
      </c>
      <c r="D36" s="163">
        <v>1108</v>
      </c>
      <c r="E36" s="162">
        <v>2.8580000000000001</v>
      </c>
      <c r="F36" s="162">
        <v>39.6</v>
      </c>
      <c r="G36" s="163">
        <v>303700</v>
      </c>
      <c r="H36" s="162">
        <v>100.8</v>
      </c>
      <c r="I36" s="200">
        <v>23.7</v>
      </c>
      <c r="J36" s="200">
        <v>13.7</v>
      </c>
      <c r="K36" s="310">
        <v>11.5</v>
      </c>
    </row>
    <row r="37" spans="1:11" s="57" customFormat="1" ht="15.75" customHeight="1" x14ac:dyDescent="0.2">
      <c r="A37" s="169" t="s">
        <v>184</v>
      </c>
      <c r="B37" s="306">
        <v>3843</v>
      </c>
      <c r="C37" s="179">
        <v>2.8</v>
      </c>
      <c r="D37" s="138">
        <v>1067</v>
      </c>
      <c r="E37" s="171">
        <v>2.8</v>
      </c>
      <c r="F37" s="171">
        <v>41.9</v>
      </c>
      <c r="G37" s="138">
        <v>318900</v>
      </c>
      <c r="H37" s="171">
        <v>100.7</v>
      </c>
      <c r="I37" s="196">
        <v>31.3</v>
      </c>
      <c r="J37" s="196">
        <v>24.7</v>
      </c>
      <c r="K37" s="311">
        <v>11.5</v>
      </c>
    </row>
    <row r="38" spans="1:11" s="57" customFormat="1" ht="15.75" customHeight="1" x14ac:dyDescent="0.2">
      <c r="A38" s="121" t="s">
        <v>185</v>
      </c>
      <c r="B38" s="305">
        <v>3427</v>
      </c>
      <c r="C38" s="192">
        <v>1.1499999999999999</v>
      </c>
      <c r="D38" s="163">
        <v>1486</v>
      </c>
      <c r="E38" s="162">
        <v>3.5</v>
      </c>
      <c r="F38" s="162">
        <v>41.7</v>
      </c>
      <c r="G38" s="163">
        <v>321800</v>
      </c>
      <c r="H38" s="162">
        <v>99.9</v>
      </c>
      <c r="I38" s="200">
        <v>26.58</v>
      </c>
      <c r="J38" s="200">
        <v>9.3000000000000007</v>
      </c>
      <c r="K38" s="164">
        <v>6.7</v>
      </c>
    </row>
    <row r="39" spans="1:11" s="57" customFormat="1" ht="15.75" customHeight="1" x14ac:dyDescent="0.2">
      <c r="A39" s="169" t="s">
        <v>186</v>
      </c>
      <c r="B39" s="306">
        <v>2355</v>
      </c>
      <c r="C39" s="179">
        <f>B39/2258</f>
        <v>1.0429583702391496</v>
      </c>
      <c r="D39" s="138">
        <v>1061</v>
      </c>
      <c r="E39" s="171">
        <f>1061000/343550</f>
        <v>3.088342308252074</v>
      </c>
      <c r="F39" s="171">
        <v>42.3</v>
      </c>
      <c r="G39" s="138">
        <v>321700</v>
      </c>
      <c r="H39" s="171">
        <v>100.1</v>
      </c>
      <c r="I39" s="196">
        <v>37.1</v>
      </c>
      <c r="J39" s="196">
        <v>8.1999999999999993</v>
      </c>
      <c r="K39" s="180">
        <v>6.1</v>
      </c>
    </row>
    <row r="40" spans="1:11" s="57" customFormat="1" ht="15.75" customHeight="1" x14ac:dyDescent="0.2">
      <c r="A40" s="121" t="s">
        <v>187</v>
      </c>
      <c r="B40" s="305">
        <v>3544</v>
      </c>
      <c r="C40" s="192">
        <v>0.5</v>
      </c>
      <c r="D40" s="163">
        <v>1080</v>
      </c>
      <c r="E40" s="162">
        <v>2.64</v>
      </c>
      <c r="F40" s="162">
        <v>43</v>
      </c>
      <c r="G40" s="163">
        <v>326400</v>
      </c>
      <c r="H40" s="162">
        <v>100.6</v>
      </c>
      <c r="I40" s="200">
        <v>29.9</v>
      </c>
      <c r="J40" s="200">
        <v>24.4</v>
      </c>
      <c r="K40" s="164">
        <v>16</v>
      </c>
    </row>
    <row r="41" spans="1:11" s="57" customFormat="1" ht="15.75" customHeight="1" x14ac:dyDescent="0.2">
      <c r="A41" s="169" t="s">
        <v>846</v>
      </c>
      <c r="B41" s="306">
        <v>2796</v>
      </c>
      <c r="C41" s="179">
        <v>1.9</v>
      </c>
      <c r="D41" s="138">
        <v>1456</v>
      </c>
      <c r="E41" s="171">
        <v>3.89</v>
      </c>
      <c r="F41" s="171">
        <v>42.3</v>
      </c>
      <c r="G41" s="138">
        <v>315100</v>
      </c>
      <c r="H41" s="171">
        <v>100.9</v>
      </c>
      <c r="I41" s="196">
        <v>35.1</v>
      </c>
      <c r="J41" s="196">
        <v>25.13</v>
      </c>
      <c r="K41" s="180">
        <v>24.15</v>
      </c>
    </row>
    <row r="42" spans="1:11" s="57" customFormat="1" ht="15.75" customHeight="1" x14ac:dyDescent="0.2">
      <c r="A42" s="121" t="s">
        <v>190</v>
      </c>
      <c r="B42" s="305">
        <v>2471</v>
      </c>
      <c r="C42" s="192">
        <v>-0.6</v>
      </c>
      <c r="D42" s="163">
        <v>1141</v>
      </c>
      <c r="E42" s="162">
        <v>3.3</v>
      </c>
      <c r="F42" s="162">
        <v>40.799999999999997</v>
      </c>
      <c r="G42" s="163">
        <v>306575</v>
      </c>
      <c r="H42" s="162">
        <v>99.1</v>
      </c>
      <c r="I42" s="200">
        <v>28.8</v>
      </c>
      <c r="J42" s="200">
        <v>13.4</v>
      </c>
      <c r="K42" s="164">
        <v>14.2</v>
      </c>
    </row>
    <row r="43" spans="1:11" s="57" customFormat="1" ht="15.75" customHeight="1" x14ac:dyDescent="0.2">
      <c r="A43" s="169" t="s">
        <v>191</v>
      </c>
      <c r="B43" s="306">
        <v>2949</v>
      </c>
      <c r="C43" s="179">
        <v>0.82051280000000004</v>
      </c>
      <c r="D43" s="138">
        <v>1319</v>
      </c>
      <c r="E43" s="171">
        <v>3.2978869999999998</v>
      </c>
      <c r="F43" s="171">
        <v>44.2</v>
      </c>
      <c r="G43" s="138">
        <v>320300</v>
      </c>
      <c r="H43" s="171">
        <v>98.6</v>
      </c>
      <c r="I43" s="196">
        <v>35.4</v>
      </c>
      <c r="J43" s="196">
        <v>19.3</v>
      </c>
      <c r="K43" s="180">
        <v>15.8</v>
      </c>
    </row>
    <row r="44" spans="1:11" s="57" customFormat="1" ht="15.75" customHeight="1" x14ac:dyDescent="0.2">
      <c r="A44" s="121" t="s">
        <v>253</v>
      </c>
      <c r="B44" s="305">
        <v>2395</v>
      </c>
      <c r="C44" s="192">
        <v>1.1000000000000001</v>
      </c>
      <c r="D44" s="163">
        <v>895</v>
      </c>
      <c r="E44" s="162">
        <v>3.4</v>
      </c>
      <c r="F44" s="162">
        <v>41.9</v>
      </c>
      <c r="G44" s="163">
        <v>315900</v>
      </c>
      <c r="H44" s="162">
        <v>99</v>
      </c>
      <c r="I44" s="200">
        <v>32.200000000000003</v>
      </c>
      <c r="J44" s="200">
        <v>15.8</v>
      </c>
      <c r="K44" s="164">
        <v>11.3</v>
      </c>
    </row>
    <row r="45" spans="1:11" s="57" customFormat="1" ht="15.75" customHeight="1" x14ac:dyDescent="0.2">
      <c r="A45" s="169" t="s">
        <v>193</v>
      </c>
      <c r="B45" s="306">
        <v>1218</v>
      </c>
      <c r="C45" s="179">
        <v>3.7</v>
      </c>
      <c r="D45" s="138">
        <v>773</v>
      </c>
      <c r="E45" s="171">
        <v>3.3</v>
      </c>
      <c r="F45" s="171">
        <v>41.8</v>
      </c>
      <c r="G45" s="138">
        <v>305200</v>
      </c>
      <c r="H45" s="171">
        <v>96.9</v>
      </c>
      <c r="I45" s="196">
        <v>27.3</v>
      </c>
      <c r="J45" s="196">
        <v>17</v>
      </c>
      <c r="K45" s="180">
        <v>15</v>
      </c>
    </row>
    <row r="46" spans="1:11" s="57" customFormat="1" ht="15.75" customHeight="1" x14ac:dyDescent="0.2">
      <c r="A46" s="121" t="s">
        <v>194</v>
      </c>
      <c r="B46" s="305">
        <v>3036</v>
      </c>
      <c r="C46" s="192">
        <f>B46/2977*100-100</f>
        <v>1.9818609338259989</v>
      </c>
      <c r="D46" s="163">
        <v>1563</v>
      </c>
      <c r="E46" s="162">
        <f>D46/487772*1000</f>
        <v>3.2043659742666653</v>
      </c>
      <c r="F46" s="162">
        <v>41.2</v>
      </c>
      <c r="G46" s="163">
        <v>314800</v>
      </c>
      <c r="H46" s="162">
        <v>101.9</v>
      </c>
      <c r="I46" s="200">
        <v>31.7</v>
      </c>
      <c r="J46" s="200">
        <v>12.2</v>
      </c>
      <c r="K46" s="164">
        <v>9.1</v>
      </c>
    </row>
    <row r="47" spans="1:11" s="57" customFormat="1" ht="15.75" customHeight="1" x14ac:dyDescent="0.2">
      <c r="A47" s="169" t="s">
        <v>195</v>
      </c>
      <c r="B47" s="306">
        <v>3952</v>
      </c>
      <c r="C47" s="179">
        <v>1.4</v>
      </c>
      <c r="D47" s="138">
        <v>1845</v>
      </c>
      <c r="E47" s="171">
        <v>3.45</v>
      </c>
      <c r="F47" s="171">
        <v>43.9</v>
      </c>
      <c r="G47" s="138">
        <v>334600</v>
      </c>
      <c r="H47" s="171">
        <v>101.3</v>
      </c>
      <c r="I47" s="196">
        <v>34.200000000000003</v>
      </c>
      <c r="J47" s="196">
        <v>10.7</v>
      </c>
      <c r="K47" s="180">
        <v>10.5</v>
      </c>
    </row>
    <row r="48" spans="1:11" s="57" customFormat="1" ht="15.75" customHeight="1" x14ac:dyDescent="0.2">
      <c r="A48" s="121" t="s">
        <v>196</v>
      </c>
      <c r="B48" s="305">
        <v>3257</v>
      </c>
      <c r="C48" s="192">
        <v>0.4</v>
      </c>
      <c r="D48" s="163">
        <v>1585</v>
      </c>
      <c r="E48" s="162">
        <v>3.4</v>
      </c>
      <c r="F48" s="162">
        <v>40.200000000000003</v>
      </c>
      <c r="G48" s="163">
        <v>303000</v>
      </c>
      <c r="H48" s="162">
        <v>98.2</v>
      </c>
      <c r="I48" s="200">
        <v>39.700000000000003</v>
      </c>
      <c r="J48" s="200">
        <v>10.9</v>
      </c>
      <c r="K48" s="164">
        <v>11.5</v>
      </c>
    </row>
    <row r="49" spans="1:11" s="57" customFormat="1" ht="15.75" customHeight="1" x14ac:dyDescent="0.2">
      <c r="A49" s="169" t="s">
        <v>197</v>
      </c>
      <c r="B49" s="306">
        <v>2037</v>
      </c>
      <c r="C49" s="179">
        <v>1.6</v>
      </c>
      <c r="D49" s="138">
        <v>1260</v>
      </c>
      <c r="E49" s="171">
        <v>4.2</v>
      </c>
      <c r="F49" s="171">
        <v>44.4</v>
      </c>
      <c r="G49" s="138">
        <v>334900</v>
      </c>
      <c r="H49" s="196">
        <v>100.3</v>
      </c>
      <c r="I49" s="220">
        <v>28</v>
      </c>
      <c r="J49" s="196">
        <v>20.8</v>
      </c>
      <c r="K49" s="180">
        <v>16.2</v>
      </c>
    </row>
    <row r="50" spans="1:11" s="57" customFormat="1" ht="15.75" customHeight="1" x14ac:dyDescent="0.2">
      <c r="A50" s="121" t="s">
        <v>198</v>
      </c>
      <c r="B50" s="305">
        <v>3826</v>
      </c>
      <c r="C50" s="192">
        <v>0.4</v>
      </c>
      <c r="D50" s="163">
        <v>1615</v>
      </c>
      <c r="E50" s="162">
        <v>3.3</v>
      </c>
      <c r="F50" s="162">
        <v>40.200000000000003</v>
      </c>
      <c r="G50" s="163">
        <v>313300</v>
      </c>
      <c r="H50" s="162">
        <v>101.4</v>
      </c>
      <c r="I50" s="200">
        <v>32.9</v>
      </c>
      <c r="J50" s="200">
        <v>13.2</v>
      </c>
      <c r="K50" s="164">
        <v>10.9</v>
      </c>
    </row>
    <row r="51" spans="1:11" s="57" customFormat="1" ht="15.75" customHeight="1" x14ac:dyDescent="0.2">
      <c r="A51" s="169" t="s">
        <v>200</v>
      </c>
      <c r="B51" s="306">
        <v>2762</v>
      </c>
      <c r="C51" s="179">
        <v>1.5</v>
      </c>
      <c r="D51" s="138">
        <v>1134</v>
      </c>
      <c r="E51" s="171">
        <v>3.2</v>
      </c>
      <c r="F51" s="171">
        <v>41.2</v>
      </c>
      <c r="G51" s="138">
        <v>315400</v>
      </c>
      <c r="H51" s="171">
        <v>99.7</v>
      </c>
      <c r="I51" s="196">
        <v>32.799999999999997</v>
      </c>
      <c r="J51" s="196">
        <v>24.4</v>
      </c>
      <c r="K51" s="180">
        <v>29.3</v>
      </c>
    </row>
    <row r="52" spans="1:11" s="57" customFormat="1" ht="15.75" customHeight="1" x14ac:dyDescent="0.2">
      <c r="A52" s="121" t="s">
        <v>201</v>
      </c>
      <c r="B52" s="305">
        <v>2887</v>
      </c>
      <c r="C52" s="192">
        <f>100*((2887/2874)-1)</f>
        <v>0.45233124565065008</v>
      </c>
      <c r="D52" s="163">
        <v>1419</v>
      </c>
      <c r="E52" s="162">
        <f>D52*1000/365809</f>
        <v>3.8790735055725802</v>
      </c>
      <c r="F52" s="162">
        <v>43.5</v>
      </c>
      <c r="G52" s="163">
        <v>325800</v>
      </c>
      <c r="H52" s="162">
        <v>99.5</v>
      </c>
      <c r="I52" s="200">
        <v>30</v>
      </c>
      <c r="J52" s="200">
        <f>12*100/178</f>
        <v>6.7415730337078648</v>
      </c>
      <c r="K52" s="164">
        <f>11*100/138</f>
        <v>7.9710144927536231</v>
      </c>
    </row>
    <row r="53" spans="1:11" s="57" customFormat="1" ht="15.75" customHeight="1" x14ac:dyDescent="0.2">
      <c r="A53" s="169" t="s">
        <v>202</v>
      </c>
      <c r="B53" s="306">
        <v>1296</v>
      </c>
      <c r="C53" s="1017">
        <v>7.7220077220090388E-2</v>
      </c>
      <c r="D53" s="138">
        <v>838</v>
      </c>
      <c r="E53" s="171">
        <v>4.5</v>
      </c>
      <c r="F53" s="171">
        <v>43.7</v>
      </c>
      <c r="G53" s="138">
        <v>320268</v>
      </c>
      <c r="H53" s="171">
        <v>97.4</v>
      </c>
      <c r="I53" s="196">
        <v>30.7</v>
      </c>
      <c r="J53" s="196">
        <v>19.2</v>
      </c>
      <c r="K53" s="180">
        <v>17.600000000000001</v>
      </c>
    </row>
    <row r="54" spans="1:11" s="57" customFormat="1" ht="15.75" customHeight="1" x14ac:dyDescent="0.2">
      <c r="A54" s="121" t="s">
        <v>203</v>
      </c>
      <c r="B54" s="305">
        <v>2474</v>
      </c>
      <c r="C54" s="192">
        <v>0.6</v>
      </c>
      <c r="D54" s="312">
        <v>1056</v>
      </c>
      <c r="E54" s="162">
        <v>5.3</v>
      </c>
      <c r="F54" s="162">
        <v>44.8</v>
      </c>
      <c r="G54" s="163">
        <v>332100</v>
      </c>
      <c r="H54" s="162">
        <v>98.8</v>
      </c>
      <c r="I54" s="200">
        <v>33.799999999999997</v>
      </c>
      <c r="J54" s="200">
        <v>20.100000000000001</v>
      </c>
      <c r="K54" s="164">
        <v>19.2</v>
      </c>
    </row>
    <row r="55" spans="1:11" s="57" customFormat="1" ht="15.75" customHeight="1" x14ac:dyDescent="0.2">
      <c r="A55" s="169" t="s">
        <v>204</v>
      </c>
      <c r="B55" s="306">
        <v>3487</v>
      </c>
      <c r="C55" s="179">
        <v>1.3</v>
      </c>
      <c r="D55" s="138">
        <v>1677</v>
      </c>
      <c r="E55" s="171">
        <v>3.48</v>
      </c>
      <c r="F55" s="171">
        <v>42.7</v>
      </c>
      <c r="G55" s="1023">
        <v>332700</v>
      </c>
      <c r="H55" s="171">
        <v>101.8</v>
      </c>
      <c r="I55" s="196">
        <v>30.4</v>
      </c>
      <c r="J55" s="171">
        <v>10.199999999999999</v>
      </c>
      <c r="K55" s="180">
        <v>7.6</v>
      </c>
    </row>
    <row r="56" spans="1:11" s="57" customFormat="1" ht="15.75" customHeight="1" x14ac:dyDescent="0.2">
      <c r="A56" s="121" t="s">
        <v>254</v>
      </c>
      <c r="B56" s="305">
        <v>1841</v>
      </c>
      <c r="C56" s="192">
        <v>-1.2</v>
      </c>
      <c r="D56" s="163">
        <v>956</v>
      </c>
      <c r="E56" s="162">
        <v>4.3</v>
      </c>
      <c r="F56" s="162">
        <v>46.1</v>
      </c>
      <c r="G56" s="163">
        <v>349600</v>
      </c>
      <c r="H56" s="162">
        <v>99.2</v>
      </c>
      <c r="I56" s="200">
        <v>23</v>
      </c>
      <c r="J56" s="162">
        <v>6.9</v>
      </c>
      <c r="K56" s="164">
        <v>6.1</v>
      </c>
    </row>
    <row r="57" spans="1:11" s="57" customFormat="1" ht="15.75" customHeight="1" x14ac:dyDescent="0.2">
      <c r="A57" s="169" t="s">
        <v>207</v>
      </c>
      <c r="B57" s="306">
        <v>4105</v>
      </c>
      <c r="C57" s="179">
        <v>7.0000000000000007E-2</v>
      </c>
      <c r="D57" s="138">
        <v>1682</v>
      </c>
      <c r="E57" s="171">
        <v>3.6</v>
      </c>
      <c r="F57" s="171">
        <v>40.9</v>
      </c>
      <c r="G57" s="138">
        <v>316900</v>
      </c>
      <c r="H57" s="171">
        <v>101.1</v>
      </c>
      <c r="I57" s="196">
        <v>24.3</v>
      </c>
      <c r="J57" s="171">
        <v>16.7</v>
      </c>
      <c r="K57" s="180">
        <v>12.5</v>
      </c>
    </row>
    <row r="58" spans="1:11" s="57" customFormat="1" ht="15.75" customHeight="1" x14ac:dyDescent="0.2">
      <c r="A58" s="121" t="s">
        <v>209</v>
      </c>
      <c r="B58" s="305">
        <v>2632</v>
      </c>
      <c r="C58" s="192">
        <v>-1.6442451420029895</v>
      </c>
      <c r="D58" s="163">
        <v>1367</v>
      </c>
      <c r="E58" s="162">
        <v>5.2709507761831684</v>
      </c>
      <c r="F58" s="162">
        <v>42.4</v>
      </c>
      <c r="G58" s="163">
        <v>327700</v>
      </c>
      <c r="H58" s="162">
        <v>100.1</v>
      </c>
      <c r="I58" s="200">
        <v>30.2</v>
      </c>
      <c r="J58" s="162">
        <v>8.9</v>
      </c>
      <c r="K58" s="164">
        <v>10.1</v>
      </c>
    </row>
    <row r="59" spans="1:11" s="57" customFormat="1" ht="15.75" customHeight="1" x14ac:dyDescent="0.2">
      <c r="A59" s="169" t="s">
        <v>210</v>
      </c>
      <c r="B59" s="306">
        <v>3703</v>
      </c>
      <c r="C59" s="179">
        <v>1.5</v>
      </c>
      <c r="D59" s="138">
        <v>1434</v>
      </c>
      <c r="E59" s="171">
        <v>3.4</v>
      </c>
      <c r="F59" s="171">
        <v>41.9</v>
      </c>
      <c r="G59" s="138">
        <v>316200</v>
      </c>
      <c r="H59" s="171">
        <v>101</v>
      </c>
      <c r="I59" s="196">
        <v>39.6</v>
      </c>
      <c r="J59" s="171">
        <v>14.2</v>
      </c>
      <c r="K59" s="180">
        <v>9.3000000000000007</v>
      </c>
    </row>
    <row r="60" spans="1:11" s="57" customFormat="1" ht="15.75" customHeight="1" x14ac:dyDescent="0.2">
      <c r="A60" s="121" t="s">
        <v>212</v>
      </c>
      <c r="B60" s="305">
        <v>3346</v>
      </c>
      <c r="C60" s="192">
        <v>1.7</v>
      </c>
      <c r="D60" s="163">
        <v>1933</v>
      </c>
      <c r="E60" s="162">
        <v>3.79</v>
      </c>
      <c r="F60" s="162">
        <v>42.6</v>
      </c>
      <c r="G60" s="163">
        <v>320000</v>
      </c>
      <c r="H60" s="162">
        <v>99.4</v>
      </c>
      <c r="I60" s="200">
        <v>39.6</v>
      </c>
      <c r="J60" s="162">
        <v>8.3000000000000007</v>
      </c>
      <c r="K60" s="164">
        <v>4.3</v>
      </c>
    </row>
    <row r="61" spans="1:11" s="57" customFormat="1" ht="15.75" customHeight="1" x14ac:dyDescent="0.2">
      <c r="A61" s="169" t="s">
        <v>213</v>
      </c>
      <c r="B61" s="306">
        <v>2831</v>
      </c>
      <c r="C61" s="171">
        <v>-3.5198873636043126E-3</v>
      </c>
      <c r="D61" s="138">
        <v>1432</v>
      </c>
      <c r="E61" s="171">
        <v>4.3987774347632431</v>
      </c>
      <c r="F61" s="171">
        <v>42.3</v>
      </c>
      <c r="G61" s="138">
        <v>322800</v>
      </c>
      <c r="H61" s="171">
        <v>99.3</v>
      </c>
      <c r="I61" s="196">
        <v>32.4</v>
      </c>
      <c r="J61" s="196">
        <v>10.7</v>
      </c>
      <c r="K61" s="180">
        <v>13.1</v>
      </c>
    </row>
    <row r="62" spans="1:11" s="57" customFormat="1" ht="15.75" customHeight="1" x14ac:dyDescent="0.2">
      <c r="A62" s="121" t="s">
        <v>215</v>
      </c>
      <c r="B62" s="305">
        <v>1880</v>
      </c>
      <c r="C62" s="192">
        <v>-0.3</v>
      </c>
      <c r="D62" s="312">
        <v>1353</v>
      </c>
      <c r="E62" s="162">
        <v>4.0999999999999996</v>
      </c>
      <c r="F62" s="162">
        <v>42.6</v>
      </c>
      <c r="G62" s="163">
        <v>325300</v>
      </c>
      <c r="H62" s="162">
        <v>99.6</v>
      </c>
      <c r="I62" s="200">
        <v>43.9</v>
      </c>
      <c r="J62" s="200">
        <v>15.1</v>
      </c>
      <c r="K62" s="164">
        <v>12.6</v>
      </c>
    </row>
    <row r="63" spans="1:11" s="57" customFormat="1" ht="15.75" customHeight="1" x14ac:dyDescent="0.2">
      <c r="A63" s="169" t="s">
        <v>216</v>
      </c>
      <c r="B63" s="306">
        <v>3171</v>
      </c>
      <c r="C63" s="179">
        <v>1.1000000000000001</v>
      </c>
      <c r="D63" s="138">
        <v>1765</v>
      </c>
      <c r="E63" s="171">
        <v>4.29</v>
      </c>
      <c r="F63" s="171">
        <v>41.8</v>
      </c>
      <c r="G63" s="138">
        <v>313000</v>
      </c>
      <c r="H63" s="1016">
        <v>98.2</v>
      </c>
      <c r="I63" s="196">
        <v>21.5</v>
      </c>
      <c r="J63" s="196">
        <v>13.8</v>
      </c>
      <c r="K63" s="180">
        <v>18.100000000000001</v>
      </c>
    </row>
    <row r="64" spans="1:11" s="57" customFormat="1" ht="15.75" customHeight="1" x14ac:dyDescent="0.2">
      <c r="A64" s="121" t="s">
        <v>217</v>
      </c>
      <c r="B64" s="305">
        <v>2451</v>
      </c>
      <c r="C64" s="192">
        <v>-0.2</v>
      </c>
      <c r="D64" s="312">
        <v>1232</v>
      </c>
      <c r="E64" s="162">
        <v>5</v>
      </c>
      <c r="F64" s="162">
        <v>42.2</v>
      </c>
      <c r="G64" s="163">
        <v>325200</v>
      </c>
      <c r="H64" s="162">
        <v>99.4</v>
      </c>
      <c r="I64" s="200">
        <v>25.3</v>
      </c>
      <c r="J64" s="200">
        <v>12.7</v>
      </c>
      <c r="K64" s="164">
        <v>9.1</v>
      </c>
    </row>
    <row r="65" spans="1:13" s="57" customFormat="1" ht="15.75" customHeight="1" x14ac:dyDescent="0.2">
      <c r="A65" s="169" t="s">
        <v>219</v>
      </c>
      <c r="B65" s="306">
        <v>3323</v>
      </c>
      <c r="C65" s="179">
        <v>1.02</v>
      </c>
      <c r="D65" s="138">
        <v>1772</v>
      </c>
      <c r="E65" s="171">
        <v>3.71</v>
      </c>
      <c r="F65" s="171">
        <v>40.4</v>
      </c>
      <c r="G65" s="138">
        <v>313666</v>
      </c>
      <c r="H65" s="171">
        <v>100.1</v>
      </c>
      <c r="I65" s="196">
        <v>30.6</v>
      </c>
      <c r="J65" s="196">
        <v>13.2</v>
      </c>
      <c r="K65" s="180">
        <v>11.1</v>
      </c>
    </row>
    <row r="66" spans="1:13" s="57" customFormat="1" ht="15.75" customHeight="1" x14ac:dyDescent="0.2">
      <c r="A66" s="121" t="s">
        <v>220</v>
      </c>
      <c r="B66" s="305">
        <v>2467</v>
      </c>
      <c r="C66" s="192">
        <v>-0.3</v>
      </c>
      <c r="D66" s="312">
        <v>1534</v>
      </c>
      <c r="E66" s="162">
        <v>3.8</v>
      </c>
      <c r="F66" s="162">
        <v>40.5</v>
      </c>
      <c r="G66" s="163">
        <v>310600</v>
      </c>
      <c r="H66" s="162">
        <v>98.8</v>
      </c>
      <c r="I66" s="200">
        <v>29</v>
      </c>
      <c r="J66" s="200">
        <v>13.7</v>
      </c>
      <c r="K66" s="164">
        <v>15.6</v>
      </c>
    </row>
    <row r="67" spans="1:13" s="57" customFormat="1" ht="15.75" customHeight="1" x14ac:dyDescent="0.2">
      <c r="A67" s="169" t="s">
        <v>221</v>
      </c>
      <c r="B67" s="306">
        <v>5627</v>
      </c>
      <c r="C67" s="179">
        <v>0.4</v>
      </c>
      <c r="D67" s="138">
        <v>2095</v>
      </c>
      <c r="E67" s="171">
        <v>3.4864950323686532</v>
      </c>
      <c r="F67" s="171">
        <v>41.8</v>
      </c>
      <c r="G67" s="138">
        <v>320300</v>
      </c>
      <c r="H67" s="171">
        <v>99.4</v>
      </c>
      <c r="I67" s="196">
        <v>35.299999999999997</v>
      </c>
      <c r="J67" s="196">
        <v>14.7</v>
      </c>
      <c r="K67" s="180">
        <v>12.2</v>
      </c>
      <c r="M67" s="289"/>
    </row>
    <row r="68" spans="1:13" s="57" customFormat="1" ht="15.75" customHeight="1" thickBot="1" x14ac:dyDescent="0.25">
      <c r="A68" s="121" t="s">
        <v>223</v>
      </c>
      <c r="B68" s="228">
        <v>2386</v>
      </c>
      <c r="C68" s="233">
        <v>1.8</v>
      </c>
      <c r="D68" s="163">
        <v>1337</v>
      </c>
      <c r="E68" s="162">
        <v>4.0999999999999996</v>
      </c>
      <c r="F68" s="162">
        <v>41</v>
      </c>
      <c r="G68" s="163">
        <v>301050</v>
      </c>
      <c r="H68" s="162">
        <v>97.8</v>
      </c>
      <c r="I68" s="200">
        <v>31.4</v>
      </c>
      <c r="J68" s="200">
        <v>17.899999999999999</v>
      </c>
      <c r="K68" s="272">
        <v>20</v>
      </c>
    </row>
    <row r="69" spans="1:13" s="57" customFormat="1" ht="18" customHeight="1" thickTop="1" x14ac:dyDescent="0.2">
      <c r="A69" s="239" t="s">
        <v>224</v>
      </c>
      <c r="B69" s="313">
        <f>SUM(B7:B68)</f>
        <v>182367</v>
      </c>
      <c r="C69" s="314" t="s">
        <v>139</v>
      </c>
      <c r="D69" s="315">
        <f>SUM(D7:D68)</f>
        <v>85018</v>
      </c>
      <c r="E69" s="314" t="s">
        <v>139</v>
      </c>
      <c r="F69" s="314" t="s">
        <v>139</v>
      </c>
      <c r="G69" s="314" t="s">
        <v>139</v>
      </c>
      <c r="H69" s="316" t="s">
        <v>139</v>
      </c>
      <c r="I69" s="317" t="s">
        <v>139</v>
      </c>
      <c r="J69" s="318" t="s">
        <v>139</v>
      </c>
      <c r="K69" s="319" t="s">
        <v>139</v>
      </c>
    </row>
    <row r="70" spans="1:13" s="57" customFormat="1" ht="18" customHeight="1" thickBot="1" x14ac:dyDescent="0.25">
      <c r="A70" s="320" t="s">
        <v>225</v>
      </c>
      <c r="B70" s="321">
        <f>AVERAGE(B7:B68)</f>
        <v>2941.4032258064517</v>
      </c>
      <c r="C70" s="322">
        <f t="shared" ref="C70:K70" si="0">AVERAGE(C7:C68)</f>
        <v>0.84228783339188018</v>
      </c>
      <c r="D70" s="323">
        <f t="shared" si="0"/>
        <v>1371.258064516129</v>
      </c>
      <c r="E70" s="322">
        <f t="shared" si="0"/>
        <v>3.832840357860646</v>
      </c>
      <c r="F70" s="322">
        <f t="shared" si="0"/>
        <v>41.86290322580647</v>
      </c>
      <c r="G70" s="323">
        <f t="shared" si="0"/>
        <v>318792.72580645164</v>
      </c>
      <c r="H70" s="324">
        <f t="shared" si="0"/>
        <v>99.880645161290317</v>
      </c>
      <c r="I70" s="325">
        <f t="shared" si="0"/>
        <v>30.124354838709682</v>
      </c>
      <c r="J70" s="325">
        <f t="shared" si="0"/>
        <v>13.755993113446905</v>
      </c>
      <c r="K70" s="326">
        <f t="shared" si="0"/>
        <v>12.185822814399256</v>
      </c>
      <c r="M70" s="289"/>
    </row>
    <row r="71" spans="1:13" s="327" customFormat="1" ht="13.2" customHeight="1" thickTop="1" x14ac:dyDescent="0.2">
      <c r="A71" s="327" t="s">
        <v>255</v>
      </c>
      <c r="B71" s="1507" t="s">
        <v>256</v>
      </c>
      <c r="C71" s="1507"/>
      <c r="D71" s="1507"/>
      <c r="E71" s="1507"/>
      <c r="F71" s="1507"/>
      <c r="G71" s="1507"/>
      <c r="H71" s="1507"/>
      <c r="I71" s="1507"/>
    </row>
    <row r="72" spans="1:13" s="327" customFormat="1" ht="13.2" customHeight="1" x14ac:dyDescent="0.2">
      <c r="B72" s="1507" t="s">
        <v>257</v>
      </c>
      <c r="C72" s="1507"/>
      <c r="D72" s="1507"/>
      <c r="E72" s="1507"/>
      <c r="F72" s="1507"/>
      <c r="G72" s="1507"/>
      <c r="H72" s="1507"/>
      <c r="I72" s="1507"/>
    </row>
    <row r="73" spans="1:13" s="327" customFormat="1" ht="11.4" customHeight="1" x14ac:dyDescent="0.2">
      <c r="B73" s="1507" t="s">
        <v>258</v>
      </c>
      <c r="C73" s="1507"/>
      <c r="D73" s="1507"/>
      <c r="E73" s="1507"/>
      <c r="F73" s="1507"/>
      <c r="G73" s="1507"/>
      <c r="H73" s="1507"/>
      <c r="I73" s="1507"/>
    </row>
    <row r="74" spans="1:13" s="327" customFormat="1" ht="13.2" customHeight="1" x14ac:dyDescent="0.2">
      <c r="B74" s="284" t="s">
        <v>259</v>
      </c>
      <c r="C74" s="284"/>
      <c r="D74" s="284"/>
      <c r="E74" s="284"/>
      <c r="F74" s="284"/>
      <c r="G74" s="284"/>
      <c r="H74" s="284"/>
      <c r="I74" s="284"/>
      <c r="J74" s="284"/>
      <c r="K74" s="284"/>
    </row>
    <row r="75" spans="1:13" s="327" customFormat="1" ht="13.2" customHeight="1" x14ac:dyDescent="0.2">
      <c r="A75" s="286"/>
      <c r="B75" s="1507" t="s">
        <v>260</v>
      </c>
      <c r="C75" s="1507"/>
      <c r="D75" s="1507"/>
      <c r="E75" s="1507"/>
      <c r="F75" s="1507"/>
      <c r="G75" s="1507"/>
      <c r="H75" s="1507"/>
      <c r="I75" s="1507"/>
      <c r="J75" s="284"/>
      <c r="K75" s="328"/>
    </row>
    <row r="76" spans="1:13" s="327" customFormat="1" ht="13.2" customHeight="1" x14ac:dyDescent="0.2">
      <c r="A76" s="286"/>
      <c r="B76" s="284" t="s">
        <v>261</v>
      </c>
      <c r="C76" s="284"/>
      <c r="D76" s="284"/>
      <c r="E76" s="284"/>
      <c r="F76" s="284"/>
      <c r="G76" s="284"/>
      <c r="H76" s="284"/>
      <c r="I76" s="284"/>
      <c r="J76" s="328"/>
      <c r="K76" s="328"/>
    </row>
    <row r="77" spans="1:13" s="327" customFormat="1" ht="13.2" customHeight="1" x14ac:dyDescent="0.2">
      <c r="A77" s="286"/>
      <c r="B77" s="328"/>
      <c r="C77" s="328"/>
      <c r="D77" s="328"/>
      <c r="E77" s="328"/>
      <c r="F77" s="328"/>
      <c r="G77" s="328"/>
      <c r="H77" s="328"/>
      <c r="I77" s="328"/>
      <c r="J77" s="328"/>
      <c r="K77" s="328"/>
    </row>
    <row r="78" spans="1:13" x14ac:dyDescent="0.2">
      <c r="A78" s="286"/>
      <c r="B78" s="329"/>
      <c r="C78" s="329"/>
      <c r="D78" s="329"/>
      <c r="E78" s="329"/>
      <c r="F78" s="329"/>
      <c r="G78" s="329"/>
      <c r="H78" s="329"/>
      <c r="I78" s="329"/>
      <c r="J78" s="329"/>
      <c r="K78" s="329"/>
    </row>
    <row r="80" spans="1:13" x14ac:dyDescent="0.2">
      <c r="C80" s="57"/>
      <c r="D80" s="57"/>
      <c r="E80" s="57"/>
      <c r="F80" s="57"/>
      <c r="G80" s="57"/>
      <c r="H80" s="57"/>
      <c r="I80" s="57"/>
      <c r="K80" s="57"/>
    </row>
  </sheetData>
  <autoFilter ref="A6:AE76" xr:uid="{87D89473-FDAD-4D4F-AE7C-F7561AF01F54}"/>
  <mergeCells count="12">
    <mergeCell ref="K4:K5"/>
    <mergeCell ref="B71:I71"/>
    <mergeCell ref="B72:I72"/>
    <mergeCell ref="B73:I73"/>
    <mergeCell ref="B75:I75"/>
    <mergeCell ref="D3:G3"/>
    <mergeCell ref="H3:H5"/>
    <mergeCell ref="I3:I5"/>
    <mergeCell ref="C4:C5"/>
    <mergeCell ref="D4:E4"/>
    <mergeCell ref="F4:F5"/>
    <mergeCell ref="G4:G5"/>
  </mergeCells>
  <phoneticPr fontId="2"/>
  <dataValidations count="1">
    <dataValidation imeMode="disabled" allowBlank="1" showInputMessage="1" showErrorMessage="1" sqref="B7:K68" xr:uid="{517DAEA3-CEF3-43C5-B253-FB0B2438FA6E}"/>
  </dataValidations>
  <pageMargins left="0.74803149606299213" right="0.23622047244094491" top="0.98425196850393704" bottom="0.39370078740157483" header="0.59055118110236227" footer="0.31496062992125984"/>
  <pageSetup paperSize="9" scale="70" firstPageNumber="7" orientation="portrait" r:id="rId1"/>
  <headerFooter alignWithMargins="0">
    <oddHeader>&amp;L&amp;16 ２　職員数及び職員給料等</oddHeader>
  </headerFooter>
  <rowBreaks count="1" manualBreakCount="1">
    <brk id="7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D87C2-68B1-48BF-AC17-2E514A57F386}">
  <dimension ref="A1:CT141"/>
  <sheetViews>
    <sheetView showGridLines="0" view="pageBreakPreview" zoomScale="70" zoomScaleNormal="100" zoomScaleSheetLayoutView="70" workbookViewId="0">
      <pane xSplit="1" ySplit="6" topLeftCell="B62" activePane="bottomRight" state="frozen"/>
      <selection activeCell="E12" sqref="E12"/>
      <selection pane="topRight" activeCell="E12" sqref="E12"/>
      <selection pane="bottomLeft" activeCell="E12" sqref="E12"/>
      <selection pane="bottomRight" activeCell="M71" sqref="M71"/>
    </sheetView>
  </sheetViews>
  <sheetFormatPr defaultColWidth="8.88671875" defaultRowHeight="13.2" x14ac:dyDescent="0.2"/>
  <cols>
    <col min="1" max="1" width="12.21875" customWidth="1"/>
    <col min="2" max="4" width="10" customWidth="1"/>
    <col min="5" max="5" width="1.77734375" customWidth="1"/>
    <col min="6" max="8" width="7.44140625" customWidth="1"/>
    <col min="9" max="9" width="8.109375" customWidth="1"/>
    <col min="10" max="10" width="7.44140625" customWidth="1"/>
    <col min="11" max="11" width="8.5546875" customWidth="1"/>
    <col min="12" max="12" width="8.21875" customWidth="1"/>
    <col min="13" max="13" width="10.33203125" customWidth="1"/>
    <col min="14" max="15" width="9.77734375" customWidth="1"/>
    <col min="16" max="16" width="12.77734375" customWidth="1"/>
    <col min="17" max="18" width="9.6640625" customWidth="1"/>
    <col min="19" max="19" width="11.77734375" customWidth="1"/>
    <col min="20" max="25" width="9.44140625" customWidth="1"/>
    <col min="26" max="26" width="13.88671875" customWidth="1"/>
    <col min="27" max="27" width="2.33203125" customWidth="1"/>
    <col min="28" max="29" width="17.44140625" customWidth="1"/>
    <col min="30" max="30" width="25" customWidth="1"/>
    <col min="31" max="32" width="17.44140625" customWidth="1"/>
    <col min="33" max="33" width="2.44140625" customWidth="1"/>
    <col min="34" max="34" width="13.33203125" customWidth="1"/>
    <col min="35" max="35" width="10.77734375" customWidth="1"/>
    <col min="36" max="36" width="13" customWidth="1"/>
    <col min="37" max="37" width="9.44140625" customWidth="1"/>
    <col min="38" max="38" width="12.6640625" customWidth="1"/>
    <col min="39" max="41" width="12.33203125" customWidth="1"/>
    <col min="42" max="42" width="2.33203125" customWidth="1"/>
    <col min="43" max="48" width="10" customWidth="1"/>
    <col min="49" max="50" width="10.44140625" customWidth="1"/>
    <col min="51" max="51" width="10" customWidth="1"/>
    <col min="52" max="55" width="11.21875" customWidth="1"/>
    <col min="56" max="56" width="10" customWidth="1"/>
    <col min="57" max="60" width="11.21875" customWidth="1"/>
    <col min="61" max="61" width="10" customWidth="1"/>
    <col min="62" max="64" width="11.21875" customWidth="1"/>
    <col min="65" max="67" width="10.21875" customWidth="1"/>
    <col min="68" max="68" width="10" customWidth="1"/>
    <col min="69" max="74" width="10.21875" customWidth="1"/>
    <col min="75" max="75" width="9.33203125" customWidth="1"/>
    <col min="76" max="77" width="10.6640625" customWidth="1"/>
    <col min="78" max="79" width="11.88671875" customWidth="1"/>
    <col min="80" max="80" width="12.33203125" customWidth="1"/>
    <col min="81" max="81" width="2" customWidth="1"/>
    <col min="82" max="83" width="10.6640625" customWidth="1"/>
    <col min="84" max="84" width="10.6640625" style="330" customWidth="1"/>
    <col min="85" max="85" width="10.6640625" customWidth="1"/>
    <col min="86" max="86" width="10" style="331" customWidth="1"/>
    <col min="87" max="88" width="10" customWidth="1"/>
    <col min="89" max="92" width="10.6640625" customWidth="1"/>
    <col min="93" max="93" width="1.6640625" customWidth="1"/>
    <col min="94" max="95" width="20" customWidth="1"/>
    <col min="96" max="97" width="18.6640625" customWidth="1"/>
    <col min="98" max="98" width="20.77734375" customWidth="1"/>
  </cols>
  <sheetData>
    <row r="1" spans="1:98" ht="19.2" x14ac:dyDescent="0.2">
      <c r="A1" s="52" t="s">
        <v>262</v>
      </c>
      <c r="F1" s="38"/>
    </row>
    <row r="2" spans="1:98" ht="18.75" customHeight="1" x14ac:dyDescent="0.2">
      <c r="A2" s="332"/>
      <c r="B2" s="333" t="s">
        <v>263</v>
      </c>
      <c r="F2" s="334" t="s">
        <v>264</v>
      </c>
      <c r="G2" s="335"/>
      <c r="H2" s="335"/>
      <c r="I2" s="335"/>
      <c r="J2" s="335"/>
      <c r="K2" s="335"/>
      <c r="L2" s="335"/>
      <c r="M2" s="336"/>
      <c r="N2" s="333"/>
      <c r="O2" s="333"/>
      <c r="Q2" s="337"/>
      <c r="R2" s="337"/>
      <c r="AB2" s="333" t="s">
        <v>265</v>
      </c>
      <c r="AC2" s="338"/>
      <c r="AH2" s="333" t="s">
        <v>266</v>
      </c>
      <c r="AQ2" s="333" t="s">
        <v>267</v>
      </c>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CD2" s="339" t="s">
        <v>268</v>
      </c>
      <c r="CE2" s="340"/>
      <c r="CF2" s="340"/>
      <c r="CH2"/>
      <c r="CJ2" s="339"/>
      <c r="CK2" s="339"/>
      <c r="CL2" s="340"/>
      <c r="CM2" s="340"/>
      <c r="CN2" s="340"/>
      <c r="CP2" s="333" t="s">
        <v>269</v>
      </c>
      <c r="CQ2" s="333"/>
      <c r="CS2" s="333"/>
      <c r="CT2" s="333"/>
    </row>
    <row r="3" spans="1:98" ht="17.25" customHeight="1" x14ac:dyDescent="0.2">
      <c r="A3" s="61" t="s">
        <v>84</v>
      </c>
      <c r="B3" s="1510" t="s">
        <v>270</v>
      </c>
      <c r="C3" s="1511"/>
      <c r="D3" s="1512" t="s">
        <v>271</v>
      </c>
      <c r="E3" s="341"/>
      <c r="F3" s="1515" t="s">
        <v>272</v>
      </c>
      <c r="G3" s="1516"/>
      <c r="H3" s="1508" t="s">
        <v>273</v>
      </c>
      <c r="I3" s="1516"/>
      <c r="J3" s="1508" t="s">
        <v>274</v>
      </c>
      <c r="K3" s="1516"/>
      <c r="L3" s="1508" t="s">
        <v>275</v>
      </c>
      <c r="M3" s="1509"/>
      <c r="N3" s="1522" t="s">
        <v>276</v>
      </c>
      <c r="O3" s="1523"/>
      <c r="P3" s="1524" t="s">
        <v>277</v>
      </c>
      <c r="Q3" s="1517" t="s">
        <v>278</v>
      </c>
      <c r="R3" s="1511"/>
      <c r="S3" s="1485" t="s">
        <v>279</v>
      </c>
      <c r="T3" s="1517" t="s">
        <v>280</v>
      </c>
      <c r="U3" s="1511"/>
      <c r="V3" s="1517" t="s">
        <v>281</v>
      </c>
      <c r="W3" s="1511"/>
      <c r="X3" s="1565" t="s">
        <v>282</v>
      </c>
      <c r="Y3" s="1566"/>
      <c r="Z3" s="1567" t="s">
        <v>283</v>
      </c>
      <c r="AA3" s="342"/>
      <c r="AB3" s="1570" t="s">
        <v>284</v>
      </c>
      <c r="AC3" s="1485" t="s">
        <v>285</v>
      </c>
      <c r="AD3" s="1494" t="s">
        <v>286</v>
      </c>
      <c r="AE3" s="1494" t="s">
        <v>287</v>
      </c>
      <c r="AF3" s="1512" t="s">
        <v>288</v>
      </c>
      <c r="AG3" s="343"/>
      <c r="AH3" s="344" t="s">
        <v>289</v>
      </c>
      <c r="AI3" s="64"/>
      <c r="AJ3" s="345" t="s">
        <v>290</v>
      </c>
      <c r="AK3" s="291"/>
      <c r="AL3" s="1529" t="s">
        <v>291</v>
      </c>
      <c r="AM3" s="1485" t="s">
        <v>292</v>
      </c>
      <c r="AN3" s="1485" t="s">
        <v>293</v>
      </c>
      <c r="AO3" s="1512" t="s">
        <v>294</v>
      </c>
      <c r="AP3" s="346"/>
      <c r="AQ3" s="347" t="s">
        <v>295</v>
      </c>
      <c r="AR3" s="348"/>
      <c r="AS3" s="348"/>
      <c r="AT3" s="348"/>
      <c r="AU3" s="348"/>
      <c r="AV3" s="349"/>
      <c r="AW3" s="1559" t="s">
        <v>296</v>
      </c>
      <c r="AX3" s="1560"/>
      <c r="AY3" s="1552" t="s">
        <v>297</v>
      </c>
      <c r="AZ3" s="1454"/>
      <c r="BA3" s="1454"/>
      <c r="BB3" s="1454"/>
      <c r="BC3" s="1455"/>
      <c r="BD3" s="1534" t="s">
        <v>298</v>
      </c>
      <c r="BE3" s="1454"/>
      <c r="BF3" s="1454"/>
      <c r="BG3" s="1454"/>
      <c r="BH3" s="1457"/>
      <c r="BI3" s="1552" t="s">
        <v>299</v>
      </c>
      <c r="BJ3" s="1535"/>
      <c r="BK3" s="1535"/>
      <c r="BL3" s="1535"/>
      <c r="BM3" s="1535"/>
      <c r="BN3" s="1535"/>
      <c r="BO3" s="1553"/>
      <c r="BP3" s="1534" t="s">
        <v>300</v>
      </c>
      <c r="BQ3" s="1454"/>
      <c r="BR3" s="1454"/>
      <c r="BS3" s="1454"/>
      <c r="BT3" s="1454"/>
      <c r="BU3" s="1454"/>
      <c r="BV3" s="1455"/>
      <c r="BW3" s="1534" t="s">
        <v>301</v>
      </c>
      <c r="BX3" s="1535"/>
      <c r="BY3" s="1457"/>
      <c r="BZ3" s="1485" t="s">
        <v>302</v>
      </c>
      <c r="CA3" s="1544" t="s">
        <v>303</v>
      </c>
      <c r="CB3" s="1544" t="s">
        <v>304</v>
      </c>
      <c r="CC3" s="350"/>
      <c r="CD3" s="344" t="s">
        <v>305</v>
      </c>
      <c r="CE3" s="291"/>
      <c r="CF3" s="1547" t="s">
        <v>306</v>
      </c>
      <c r="CG3" s="1548"/>
      <c r="CH3" s="1549" t="s">
        <v>307</v>
      </c>
      <c r="CI3" s="1458" t="s">
        <v>308</v>
      </c>
      <c r="CJ3" s="1478" t="s">
        <v>309</v>
      </c>
      <c r="CK3" s="344" t="s">
        <v>310</v>
      </c>
      <c r="CL3" s="291"/>
      <c r="CM3" s="351" t="s">
        <v>311</v>
      </c>
      <c r="CN3" s="352"/>
      <c r="CO3" s="343"/>
      <c r="CP3" s="1539" t="s">
        <v>312</v>
      </c>
      <c r="CQ3" s="1539" t="s">
        <v>313</v>
      </c>
      <c r="CR3" s="1539" t="s">
        <v>314</v>
      </c>
      <c r="CS3" s="1539" t="s">
        <v>315</v>
      </c>
      <c r="CT3" s="1539" t="s">
        <v>316</v>
      </c>
    </row>
    <row r="4" spans="1:98" ht="17.25" customHeight="1" x14ac:dyDescent="0.2">
      <c r="A4" s="294"/>
      <c r="B4" s="57"/>
      <c r="C4" s="1520" t="s">
        <v>317</v>
      </c>
      <c r="D4" s="1513"/>
      <c r="E4" s="341"/>
      <c r="F4" s="353"/>
      <c r="G4" s="1520" t="s">
        <v>318</v>
      </c>
      <c r="H4" s="57"/>
      <c r="I4" s="1520" t="s">
        <v>318</v>
      </c>
      <c r="J4" s="57"/>
      <c r="K4" s="1520" t="s">
        <v>318</v>
      </c>
      <c r="L4" s="354" t="s">
        <v>319</v>
      </c>
      <c r="M4" s="1542" t="s">
        <v>318</v>
      </c>
      <c r="N4" s="355"/>
      <c r="O4" s="1518" t="s">
        <v>318</v>
      </c>
      <c r="P4" s="1525"/>
      <c r="Q4" s="356"/>
      <c r="R4" s="1520" t="s">
        <v>320</v>
      </c>
      <c r="S4" s="1527"/>
      <c r="T4" s="356"/>
      <c r="U4" s="1520" t="s">
        <v>320</v>
      </c>
      <c r="V4" s="356"/>
      <c r="W4" s="1520" t="s">
        <v>320</v>
      </c>
      <c r="X4" s="357"/>
      <c r="Y4" s="1573" t="s">
        <v>320</v>
      </c>
      <c r="Z4" s="1568"/>
      <c r="AA4" s="358"/>
      <c r="AB4" s="1571"/>
      <c r="AC4" s="1527"/>
      <c r="AD4" s="1572"/>
      <c r="AE4" s="1572"/>
      <c r="AF4" s="1513"/>
      <c r="AG4" s="359"/>
      <c r="AH4" s="295"/>
      <c r="AI4" s="1563" t="s">
        <v>321</v>
      </c>
      <c r="AJ4" s="68"/>
      <c r="AK4" s="1563" t="s">
        <v>322</v>
      </c>
      <c r="AL4" s="1530"/>
      <c r="AM4" s="1476"/>
      <c r="AN4" s="1476"/>
      <c r="AO4" s="1532"/>
      <c r="AP4" s="346"/>
      <c r="AQ4" s="360" t="s">
        <v>323</v>
      </c>
      <c r="AR4" s="361"/>
      <c r="AS4" s="362" t="s">
        <v>324</v>
      </c>
      <c r="AT4" s="361"/>
      <c r="AU4" s="362" t="s">
        <v>325</v>
      </c>
      <c r="AV4" s="361"/>
      <c r="AW4" s="1561"/>
      <c r="AX4" s="1562"/>
      <c r="AY4" s="363"/>
      <c r="AZ4" s="1536" t="s">
        <v>326</v>
      </c>
      <c r="BA4" s="1536"/>
      <c r="BB4" s="1536" t="s">
        <v>327</v>
      </c>
      <c r="BC4" s="1537"/>
      <c r="BD4" s="364"/>
      <c r="BE4" s="1536" t="s">
        <v>326</v>
      </c>
      <c r="BF4" s="1536"/>
      <c r="BG4" s="1536" t="s">
        <v>327</v>
      </c>
      <c r="BH4" s="1536"/>
      <c r="BI4" s="363"/>
      <c r="BJ4" s="1536" t="s">
        <v>326</v>
      </c>
      <c r="BK4" s="1536"/>
      <c r="BL4" s="1538"/>
      <c r="BM4" s="1536" t="s">
        <v>327</v>
      </c>
      <c r="BN4" s="1538"/>
      <c r="BO4" s="1537"/>
      <c r="BP4" s="364"/>
      <c r="BQ4" s="1536" t="s">
        <v>326</v>
      </c>
      <c r="BR4" s="1536"/>
      <c r="BS4" s="1536"/>
      <c r="BT4" s="1536" t="s">
        <v>327</v>
      </c>
      <c r="BU4" s="1538"/>
      <c r="BV4" s="1537"/>
      <c r="BW4" s="364"/>
      <c r="BX4" s="365" t="s">
        <v>328</v>
      </c>
      <c r="BY4" s="365" t="s">
        <v>327</v>
      </c>
      <c r="BZ4" s="1527"/>
      <c r="CA4" s="1545"/>
      <c r="CB4" s="1545"/>
      <c r="CC4" s="366"/>
      <c r="CD4" s="295"/>
      <c r="CE4" s="1554" t="s">
        <v>329</v>
      </c>
      <c r="CF4" s="367"/>
      <c r="CG4" s="1554" t="s">
        <v>329</v>
      </c>
      <c r="CH4" s="1550"/>
      <c r="CI4" s="1527"/>
      <c r="CJ4" s="1513"/>
      <c r="CK4" s="1576" t="s">
        <v>330</v>
      </c>
      <c r="CL4" s="1578" t="s">
        <v>331</v>
      </c>
      <c r="CM4" s="1579" t="s">
        <v>330</v>
      </c>
      <c r="CN4" s="1581" t="s">
        <v>331</v>
      </c>
      <c r="CO4" s="368"/>
      <c r="CP4" s="1540"/>
      <c r="CQ4" s="1540"/>
      <c r="CR4" s="1540"/>
      <c r="CS4" s="1540"/>
      <c r="CT4" s="1540"/>
    </row>
    <row r="5" spans="1:98" ht="17.25" customHeight="1" x14ac:dyDescent="0.2">
      <c r="A5" s="294"/>
      <c r="B5" s="57"/>
      <c r="C5" s="1521"/>
      <c r="D5" s="1514"/>
      <c r="E5" s="341"/>
      <c r="F5" s="353"/>
      <c r="G5" s="1521"/>
      <c r="H5" s="57"/>
      <c r="I5" s="1521"/>
      <c r="J5" s="57"/>
      <c r="K5" s="1521"/>
      <c r="L5" s="356"/>
      <c r="M5" s="1543"/>
      <c r="N5" s="369"/>
      <c r="O5" s="1519"/>
      <c r="P5" s="1526"/>
      <c r="Q5" s="356"/>
      <c r="R5" s="1521"/>
      <c r="S5" s="1528"/>
      <c r="T5" s="356"/>
      <c r="U5" s="1521"/>
      <c r="V5" s="356"/>
      <c r="W5" s="1521"/>
      <c r="X5" s="357"/>
      <c r="Y5" s="1574"/>
      <c r="Z5" s="1569"/>
      <c r="AA5" s="358"/>
      <c r="AB5" s="1475"/>
      <c r="AC5" s="1528"/>
      <c r="AD5" s="1521"/>
      <c r="AE5" s="1521"/>
      <c r="AF5" s="1514"/>
      <c r="AG5" s="359"/>
      <c r="AH5" s="295"/>
      <c r="AI5" s="1564"/>
      <c r="AJ5" s="68"/>
      <c r="AK5" s="1564"/>
      <c r="AL5" s="1531"/>
      <c r="AM5" s="1477"/>
      <c r="AN5" s="1477"/>
      <c r="AO5" s="1533"/>
      <c r="AP5" s="346"/>
      <c r="AQ5" s="370"/>
      <c r="AR5" s="371" t="s">
        <v>332</v>
      </c>
      <c r="AS5" s="372"/>
      <c r="AT5" s="371" t="s">
        <v>332</v>
      </c>
      <c r="AU5" s="372"/>
      <c r="AV5" s="371" t="s">
        <v>332</v>
      </c>
      <c r="AW5" s="372"/>
      <c r="AX5" s="371" t="s">
        <v>332</v>
      </c>
      <c r="AY5" s="373" t="s">
        <v>333</v>
      </c>
      <c r="AZ5" s="374" t="s">
        <v>324</v>
      </c>
      <c r="BA5" s="374" t="s">
        <v>325</v>
      </c>
      <c r="BB5" s="374" t="s">
        <v>324</v>
      </c>
      <c r="BC5" s="375" t="s">
        <v>325</v>
      </c>
      <c r="BD5" s="376" t="s">
        <v>333</v>
      </c>
      <c r="BE5" s="374" t="s">
        <v>324</v>
      </c>
      <c r="BF5" s="374" t="s">
        <v>325</v>
      </c>
      <c r="BG5" s="374" t="s">
        <v>324</v>
      </c>
      <c r="BH5" s="374" t="s">
        <v>325</v>
      </c>
      <c r="BI5" s="373" t="s">
        <v>333</v>
      </c>
      <c r="BJ5" s="374" t="s">
        <v>323</v>
      </c>
      <c r="BK5" s="374" t="s">
        <v>324</v>
      </c>
      <c r="BL5" s="377" t="s">
        <v>325</v>
      </c>
      <c r="BM5" s="374" t="s">
        <v>323</v>
      </c>
      <c r="BN5" s="374" t="s">
        <v>324</v>
      </c>
      <c r="BO5" s="375" t="s">
        <v>325</v>
      </c>
      <c r="BP5" s="376" t="s">
        <v>333</v>
      </c>
      <c r="BQ5" s="374" t="s">
        <v>323</v>
      </c>
      <c r="BR5" s="374" t="s">
        <v>324</v>
      </c>
      <c r="BS5" s="374" t="s">
        <v>325</v>
      </c>
      <c r="BT5" s="374" t="s">
        <v>323</v>
      </c>
      <c r="BU5" s="374" t="s">
        <v>324</v>
      </c>
      <c r="BV5" s="375" t="s">
        <v>325</v>
      </c>
      <c r="BW5" s="376" t="s">
        <v>333</v>
      </c>
      <c r="BX5" s="365" t="s">
        <v>325</v>
      </c>
      <c r="BY5" s="374" t="s">
        <v>325</v>
      </c>
      <c r="BZ5" s="1528"/>
      <c r="CA5" s="1546"/>
      <c r="CB5" s="1546"/>
      <c r="CC5" s="366"/>
      <c r="CD5" s="295"/>
      <c r="CE5" s="1521"/>
      <c r="CF5" s="367"/>
      <c r="CG5" s="1521"/>
      <c r="CH5" s="1551"/>
      <c r="CI5" s="1528"/>
      <c r="CJ5" s="1514"/>
      <c r="CK5" s="1577"/>
      <c r="CL5" s="1477"/>
      <c r="CM5" s="1580"/>
      <c r="CN5" s="1533"/>
      <c r="CO5" s="368"/>
      <c r="CP5" s="1541"/>
      <c r="CQ5" s="1541"/>
      <c r="CR5" s="1541"/>
      <c r="CS5" s="1541"/>
      <c r="CT5" s="1541"/>
    </row>
    <row r="6" spans="1:98" ht="17.25" customHeight="1" x14ac:dyDescent="0.2">
      <c r="A6" s="91" t="s">
        <v>128</v>
      </c>
      <c r="B6" s="378" t="s">
        <v>129</v>
      </c>
      <c r="C6" s="379" t="s">
        <v>334</v>
      </c>
      <c r="D6" s="380" t="s">
        <v>132</v>
      </c>
      <c r="E6" s="381"/>
      <c r="F6" s="378" t="s">
        <v>141</v>
      </c>
      <c r="G6" s="379" t="s">
        <v>129</v>
      </c>
      <c r="H6" s="379" t="s">
        <v>141</v>
      </c>
      <c r="I6" s="379" t="s">
        <v>129</v>
      </c>
      <c r="J6" s="379" t="s">
        <v>141</v>
      </c>
      <c r="K6" s="379" t="s">
        <v>129</v>
      </c>
      <c r="L6" s="379" t="s">
        <v>141</v>
      </c>
      <c r="M6" s="382" t="s">
        <v>129</v>
      </c>
      <c r="N6" s="382" t="s">
        <v>141</v>
      </c>
      <c r="O6" s="383" t="s">
        <v>335</v>
      </c>
      <c r="P6" s="384" t="s">
        <v>141</v>
      </c>
      <c r="Q6" s="379" t="s">
        <v>141</v>
      </c>
      <c r="R6" s="379" t="s">
        <v>129</v>
      </c>
      <c r="S6" s="379" t="s">
        <v>141</v>
      </c>
      <c r="T6" s="379" t="s">
        <v>141</v>
      </c>
      <c r="U6" s="382" t="s">
        <v>129</v>
      </c>
      <c r="V6" s="379" t="s">
        <v>141</v>
      </c>
      <c r="W6" s="382" t="s">
        <v>129</v>
      </c>
      <c r="X6" s="385" t="s">
        <v>141</v>
      </c>
      <c r="Y6" s="386" t="s">
        <v>129</v>
      </c>
      <c r="Z6" s="380" t="s">
        <v>141</v>
      </c>
      <c r="AA6" s="289"/>
      <c r="AB6" s="378" t="s">
        <v>335</v>
      </c>
      <c r="AC6" s="379" t="s">
        <v>335</v>
      </c>
      <c r="AD6" s="379" t="s">
        <v>250</v>
      </c>
      <c r="AE6" s="379" t="s">
        <v>131</v>
      </c>
      <c r="AF6" s="380" t="s">
        <v>141</v>
      </c>
      <c r="AG6" s="387"/>
      <c r="AH6" s="92" t="s">
        <v>129</v>
      </c>
      <c r="AI6" s="94" t="s">
        <v>131</v>
      </c>
      <c r="AJ6" s="94" t="s">
        <v>132</v>
      </c>
      <c r="AK6" s="94" t="s">
        <v>131</v>
      </c>
      <c r="AL6" s="94" t="s">
        <v>250</v>
      </c>
      <c r="AM6" s="94" t="s">
        <v>131</v>
      </c>
      <c r="AN6" s="94" t="s">
        <v>131</v>
      </c>
      <c r="AO6" s="95" t="s">
        <v>131</v>
      </c>
      <c r="AP6" s="388"/>
      <c r="AQ6" s="92" t="s">
        <v>335</v>
      </c>
      <c r="AR6" s="94" t="s">
        <v>131</v>
      </c>
      <c r="AS6" s="96" t="s">
        <v>335</v>
      </c>
      <c r="AT6" s="94" t="s">
        <v>131</v>
      </c>
      <c r="AU6" s="94" t="s">
        <v>335</v>
      </c>
      <c r="AV6" s="94" t="s">
        <v>131</v>
      </c>
      <c r="AW6" s="96" t="s">
        <v>335</v>
      </c>
      <c r="AX6" s="94" t="s">
        <v>131</v>
      </c>
      <c r="AY6" s="94" t="s">
        <v>141</v>
      </c>
      <c r="AZ6" s="96" t="s">
        <v>335</v>
      </c>
      <c r="BA6" s="96" t="s">
        <v>335</v>
      </c>
      <c r="BB6" s="96" t="s">
        <v>335</v>
      </c>
      <c r="BC6" s="95" t="s">
        <v>335</v>
      </c>
      <c r="BD6" s="92" t="s">
        <v>141</v>
      </c>
      <c r="BE6" s="96" t="s">
        <v>335</v>
      </c>
      <c r="BF6" s="96" t="s">
        <v>335</v>
      </c>
      <c r="BG6" s="96" t="s">
        <v>335</v>
      </c>
      <c r="BH6" s="94" t="s">
        <v>335</v>
      </c>
      <c r="BI6" s="94" t="s">
        <v>141</v>
      </c>
      <c r="BJ6" s="96" t="s">
        <v>335</v>
      </c>
      <c r="BK6" s="96" t="s">
        <v>335</v>
      </c>
      <c r="BL6" s="96" t="s">
        <v>335</v>
      </c>
      <c r="BM6" s="96" t="s">
        <v>335</v>
      </c>
      <c r="BN6" s="96" t="s">
        <v>335</v>
      </c>
      <c r="BO6" s="95" t="s">
        <v>335</v>
      </c>
      <c r="BP6" s="92" t="s">
        <v>141</v>
      </c>
      <c r="BQ6" s="96" t="s">
        <v>335</v>
      </c>
      <c r="BR6" s="96" t="s">
        <v>335</v>
      </c>
      <c r="BS6" s="96" t="s">
        <v>335</v>
      </c>
      <c r="BT6" s="96" t="s">
        <v>335</v>
      </c>
      <c r="BU6" s="96" t="s">
        <v>335</v>
      </c>
      <c r="BV6" s="95" t="s">
        <v>335</v>
      </c>
      <c r="BW6" s="92" t="s">
        <v>141</v>
      </c>
      <c r="BX6" s="389" t="s">
        <v>335</v>
      </c>
      <c r="BY6" s="94" t="s">
        <v>335</v>
      </c>
      <c r="BZ6" s="94" t="s">
        <v>335</v>
      </c>
      <c r="CA6" s="390" t="s">
        <v>141</v>
      </c>
      <c r="CB6" s="390" t="s">
        <v>141</v>
      </c>
      <c r="CC6" s="391"/>
      <c r="CD6" s="92" t="s">
        <v>141</v>
      </c>
      <c r="CE6" s="94" t="s">
        <v>141</v>
      </c>
      <c r="CF6" s="392" t="s">
        <v>336</v>
      </c>
      <c r="CG6" s="94" t="s">
        <v>336</v>
      </c>
      <c r="CH6" s="393" t="s">
        <v>336</v>
      </c>
      <c r="CI6" s="94" t="s">
        <v>141</v>
      </c>
      <c r="CJ6" s="95" t="s">
        <v>141</v>
      </c>
      <c r="CK6" s="92" t="s">
        <v>335</v>
      </c>
      <c r="CL6" s="94" t="s">
        <v>129</v>
      </c>
      <c r="CM6" s="94" t="s">
        <v>335</v>
      </c>
      <c r="CN6" s="95" t="s">
        <v>129</v>
      </c>
      <c r="CO6" s="387"/>
      <c r="CP6" s="394" t="s">
        <v>141</v>
      </c>
      <c r="CQ6" s="394" t="s">
        <v>141</v>
      </c>
      <c r="CR6" s="394" t="s">
        <v>335</v>
      </c>
      <c r="CS6" s="394" t="s">
        <v>335</v>
      </c>
      <c r="CT6" s="394" t="s">
        <v>335</v>
      </c>
    </row>
    <row r="7" spans="1:98" ht="15.75" customHeight="1" x14ac:dyDescent="0.2">
      <c r="A7" s="395" t="s">
        <v>142</v>
      </c>
      <c r="B7" s="103">
        <v>11648</v>
      </c>
      <c r="C7" s="141">
        <v>45.6</v>
      </c>
      <c r="D7" s="106">
        <v>9380</v>
      </c>
      <c r="E7" s="396"/>
      <c r="F7" s="145">
        <v>2</v>
      </c>
      <c r="G7" s="397">
        <v>270</v>
      </c>
      <c r="H7" s="397">
        <v>17</v>
      </c>
      <c r="I7" s="397">
        <v>1351</v>
      </c>
      <c r="J7" s="397">
        <v>5</v>
      </c>
      <c r="K7" s="397">
        <v>136</v>
      </c>
      <c r="L7" s="397">
        <v>0</v>
      </c>
      <c r="M7" s="398">
        <v>0</v>
      </c>
      <c r="N7" s="399">
        <v>106</v>
      </c>
      <c r="O7" s="140">
        <v>3468</v>
      </c>
      <c r="P7" s="400">
        <v>983</v>
      </c>
      <c r="Q7" s="398">
        <v>5</v>
      </c>
      <c r="R7" s="401">
        <v>205</v>
      </c>
      <c r="S7" s="397">
        <v>3</v>
      </c>
      <c r="T7" s="397">
        <v>8</v>
      </c>
      <c r="U7" s="401">
        <v>896</v>
      </c>
      <c r="V7" s="397">
        <v>2</v>
      </c>
      <c r="W7" s="401">
        <v>248</v>
      </c>
      <c r="X7" s="397">
        <v>3</v>
      </c>
      <c r="Y7" s="401">
        <v>148</v>
      </c>
      <c r="Z7" s="140">
        <v>0</v>
      </c>
      <c r="AA7" s="402"/>
      <c r="AB7" s="145">
        <v>89713</v>
      </c>
      <c r="AC7" s="397">
        <v>19389</v>
      </c>
      <c r="AD7" s="397">
        <v>26482081530</v>
      </c>
      <c r="AE7" s="403">
        <v>97.9</v>
      </c>
      <c r="AF7" s="140">
        <v>10</v>
      </c>
      <c r="AG7" s="404"/>
      <c r="AH7" s="103">
        <v>53976</v>
      </c>
      <c r="AI7" s="105">
        <v>21.3</v>
      </c>
      <c r="AJ7" s="106">
        <v>37448</v>
      </c>
      <c r="AK7" s="105">
        <v>26.51</v>
      </c>
      <c r="AL7" s="106">
        <v>435898</v>
      </c>
      <c r="AM7" s="109">
        <v>92.5</v>
      </c>
      <c r="AN7" s="113">
        <v>29.6</v>
      </c>
      <c r="AO7" s="405">
        <v>13.7</v>
      </c>
      <c r="AP7" s="406"/>
      <c r="AQ7" s="103">
        <v>2486</v>
      </c>
      <c r="AR7" s="407">
        <v>54.1</v>
      </c>
      <c r="AS7" s="408">
        <v>1889</v>
      </c>
      <c r="AT7" s="409">
        <v>41</v>
      </c>
      <c r="AU7" s="410">
        <v>1507</v>
      </c>
      <c r="AV7" s="411">
        <v>38</v>
      </c>
      <c r="AW7" s="408">
        <v>1041</v>
      </c>
      <c r="AX7" s="409">
        <v>23</v>
      </c>
      <c r="AY7" s="410">
        <v>1</v>
      </c>
      <c r="AZ7" s="408">
        <v>74</v>
      </c>
      <c r="BA7" s="408">
        <v>36</v>
      </c>
      <c r="BB7" s="408">
        <v>60</v>
      </c>
      <c r="BC7" s="412">
        <v>33</v>
      </c>
      <c r="BD7" s="103">
        <v>10</v>
      </c>
      <c r="BE7" s="408">
        <v>446</v>
      </c>
      <c r="BF7" s="408">
        <v>344</v>
      </c>
      <c r="BG7" s="408">
        <v>440</v>
      </c>
      <c r="BH7" s="410">
        <v>297</v>
      </c>
      <c r="BI7" s="104">
        <v>1</v>
      </c>
      <c r="BJ7" s="408">
        <v>15</v>
      </c>
      <c r="BK7" s="408">
        <v>30</v>
      </c>
      <c r="BL7" s="408">
        <v>45</v>
      </c>
      <c r="BM7" s="408">
        <v>10</v>
      </c>
      <c r="BN7" s="408">
        <v>22</v>
      </c>
      <c r="BO7" s="413">
        <v>5</v>
      </c>
      <c r="BP7" s="103">
        <v>48</v>
      </c>
      <c r="BQ7" s="408">
        <v>2606</v>
      </c>
      <c r="BR7" s="408">
        <v>1480</v>
      </c>
      <c r="BS7" s="408">
        <v>1310</v>
      </c>
      <c r="BT7" s="408">
        <v>1936</v>
      </c>
      <c r="BU7" s="408">
        <v>1365</v>
      </c>
      <c r="BV7" s="412">
        <v>1168</v>
      </c>
      <c r="BW7" s="103" t="s">
        <v>143</v>
      </c>
      <c r="BX7" s="414" t="s">
        <v>143</v>
      </c>
      <c r="BY7" s="408" t="s">
        <v>143</v>
      </c>
      <c r="BZ7" s="106">
        <v>0</v>
      </c>
      <c r="CA7" s="120">
        <v>24</v>
      </c>
      <c r="CB7" s="120">
        <v>13</v>
      </c>
      <c r="CC7" s="415"/>
      <c r="CD7" s="108">
        <v>27</v>
      </c>
      <c r="CE7" s="410">
        <v>3</v>
      </c>
      <c r="CF7" s="416">
        <v>6079</v>
      </c>
      <c r="CG7" s="410">
        <v>767</v>
      </c>
      <c r="CH7" s="417">
        <v>2400</v>
      </c>
      <c r="CI7" s="410">
        <v>170</v>
      </c>
      <c r="CJ7" s="413">
        <v>128</v>
      </c>
      <c r="CK7" s="103">
        <v>787</v>
      </c>
      <c r="CL7" s="105">
        <v>311</v>
      </c>
      <c r="CM7" s="106">
        <v>187</v>
      </c>
      <c r="CN7" s="142">
        <v>74</v>
      </c>
      <c r="CO7" s="404"/>
      <c r="CP7" s="418">
        <v>207</v>
      </c>
      <c r="CQ7" s="418">
        <v>69</v>
      </c>
      <c r="CR7" s="418">
        <v>12417</v>
      </c>
      <c r="CS7" s="418">
        <v>3049</v>
      </c>
      <c r="CT7" s="418">
        <v>3046</v>
      </c>
    </row>
    <row r="8" spans="1:98" ht="15.75" customHeight="1" x14ac:dyDescent="0.2">
      <c r="A8" s="419" t="s">
        <v>144</v>
      </c>
      <c r="B8" s="122">
        <v>12375</v>
      </c>
      <c r="C8" s="131">
        <v>37.200000000000003</v>
      </c>
      <c r="D8" s="125">
        <v>9939</v>
      </c>
      <c r="E8" s="396"/>
      <c r="F8" s="135">
        <v>3</v>
      </c>
      <c r="G8" s="420">
        <v>270</v>
      </c>
      <c r="H8" s="420">
        <v>20</v>
      </c>
      <c r="I8" s="420">
        <v>1300</v>
      </c>
      <c r="J8" s="420">
        <v>4</v>
      </c>
      <c r="K8" s="420">
        <v>98</v>
      </c>
      <c r="L8" s="420">
        <v>2</v>
      </c>
      <c r="M8" s="420">
        <v>100</v>
      </c>
      <c r="N8" s="421">
        <v>267</v>
      </c>
      <c r="O8" s="129">
        <v>6505</v>
      </c>
      <c r="P8" s="422">
        <v>1333</v>
      </c>
      <c r="Q8" s="420">
        <v>7</v>
      </c>
      <c r="R8" s="421">
        <v>375</v>
      </c>
      <c r="S8" s="420">
        <v>2</v>
      </c>
      <c r="T8" s="420">
        <v>11</v>
      </c>
      <c r="U8" s="421">
        <v>922</v>
      </c>
      <c r="V8" s="420">
        <v>4</v>
      </c>
      <c r="W8" s="421">
        <v>146</v>
      </c>
      <c r="X8" s="420">
        <v>3</v>
      </c>
      <c r="Y8" s="421">
        <v>131</v>
      </c>
      <c r="Z8" s="129" t="s">
        <v>143</v>
      </c>
      <c r="AA8" s="402"/>
      <c r="AB8" s="135">
        <v>111890</v>
      </c>
      <c r="AC8" s="420">
        <v>23572</v>
      </c>
      <c r="AD8" s="420">
        <v>31926383945</v>
      </c>
      <c r="AE8" s="423">
        <v>97</v>
      </c>
      <c r="AF8" s="129">
        <v>11</v>
      </c>
      <c r="AG8" s="404"/>
      <c r="AH8" s="122">
        <v>67481</v>
      </c>
      <c r="AI8" s="124">
        <v>20.3</v>
      </c>
      <c r="AJ8" s="125">
        <v>46167</v>
      </c>
      <c r="AK8" s="124">
        <v>26</v>
      </c>
      <c r="AL8" s="125">
        <v>444745</v>
      </c>
      <c r="AM8" s="127">
        <v>93.2</v>
      </c>
      <c r="AN8" s="124">
        <v>25.1</v>
      </c>
      <c r="AO8" s="424">
        <v>45.9</v>
      </c>
      <c r="AP8" s="406"/>
      <c r="AQ8" s="122">
        <v>2344</v>
      </c>
      <c r="AR8" s="425">
        <v>34.200000000000003</v>
      </c>
      <c r="AS8" s="426">
        <v>4043</v>
      </c>
      <c r="AT8" s="427">
        <v>59</v>
      </c>
      <c r="AU8" s="125">
        <v>2895</v>
      </c>
      <c r="AV8" s="428">
        <v>47.2</v>
      </c>
      <c r="AW8" s="426">
        <v>1020</v>
      </c>
      <c r="AX8" s="427">
        <v>14.87</v>
      </c>
      <c r="AY8" s="125">
        <v>3</v>
      </c>
      <c r="AZ8" s="426">
        <v>166</v>
      </c>
      <c r="BA8" s="426">
        <v>86</v>
      </c>
      <c r="BB8" s="426">
        <v>147</v>
      </c>
      <c r="BC8" s="429">
        <v>74</v>
      </c>
      <c r="BD8" s="122">
        <v>34</v>
      </c>
      <c r="BE8" s="426">
        <v>1469</v>
      </c>
      <c r="BF8" s="426">
        <v>1173</v>
      </c>
      <c r="BG8" s="426">
        <v>1611</v>
      </c>
      <c r="BH8" s="125">
        <v>1100</v>
      </c>
      <c r="BI8" s="123" t="s">
        <v>143</v>
      </c>
      <c r="BJ8" s="426" t="s">
        <v>143</v>
      </c>
      <c r="BK8" s="426" t="s">
        <v>143</v>
      </c>
      <c r="BL8" s="426" t="s">
        <v>143</v>
      </c>
      <c r="BM8" s="426" t="s">
        <v>143</v>
      </c>
      <c r="BN8" s="426" t="s">
        <v>143</v>
      </c>
      <c r="BO8" s="429" t="s">
        <v>143</v>
      </c>
      <c r="BP8" s="122">
        <v>34</v>
      </c>
      <c r="BQ8" s="426">
        <v>483</v>
      </c>
      <c r="BR8" s="426">
        <v>1762</v>
      </c>
      <c r="BS8" s="426">
        <v>1283</v>
      </c>
      <c r="BT8" s="426">
        <v>435</v>
      </c>
      <c r="BU8" s="426">
        <v>2391</v>
      </c>
      <c r="BV8" s="429">
        <v>1630</v>
      </c>
      <c r="BW8" s="122">
        <v>22</v>
      </c>
      <c r="BX8" s="430">
        <v>395</v>
      </c>
      <c r="BY8" s="426">
        <v>282</v>
      </c>
      <c r="BZ8" s="125">
        <v>0</v>
      </c>
      <c r="CA8" s="148">
        <v>6</v>
      </c>
      <c r="CB8" s="148">
        <v>10</v>
      </c>
      <c r="CC8" s="415"/>
      <c r="CD8" s="122">
        <v>39</v>
      </c>
      <c r="CE8" s="125">
        <v>1</v>
      </c>
      <c r="CF8" s="431">
        <v>7376</v>
      </c>
      <c r="CG8" s="125">
        <v>478</v>
      </c>
      <c r="CH8" s="432">
        <v>2217.6</v>
      </c>
      <c r="CI8" s="125">
        <v>232</v>
      </c>
      <c r="CJ8" s="429">
        <v>173</v>
      </c>
      <c r="CK8" s="122">
        <v>1364</v>
      </c>
      <c r="CL8" s="124">
        <v>403.6</v>
      </c>
      <c r="CM8" s="125">
        <v>254</v>
      </c>
      <c r="CN8" s="132">
        <v>75.099999999999994</v>
      </c>
      <c r="CO8" s="404"/>
      <c r="CP8" s="433">
        <v>477</v>
      </c>
      <c r="CQ8" s="433">
        <v>139</v>
      </c>
      <c r="CR8" s="433">
        <v>17099</v>
      </c>
      <c r="CS8" s="433">
        <v>4341</v>
      </c>
      <c r="CT8" s="433">
        <v>3136</v>
      </c>
    </row>
    <row r="9" spans="1:98" ht="15.75" customHeight="1" x14ac:dyDescent="0.2">
      <c r="A9" s="395" t="s">
        <v>145</v>
      </c>
      <c r="B9" s="103">
        <v>8362</v>
      </c>
      <c r="C9" s="141">
        <v>30.28</v>
      </c>
      <c r="D9" s="106">
        <v>6765</v>
      </c>
      <c r="E9" s="396"/>
      <c r="F9" s="145">
        <v>2</v>
      </c>
      <c r="G9" s="397">
        <v>155</v>
      </c>
      <c r="H9" s="397">
        <v>14</v>
      </c>
      <c r="I9" s="397">
        <v>844</v>
      </c>
      <c r="J9" s="397">
        <v>6</v>
      </c>
      <c r="K9" s="397">
        <v>159</v>
      </c>
      <c r="L9" s="397">
        <v>1</v>
      </c>
      <c r="M9" s="397">
        <v>60</v>
      </c>
      <c r="N9" s="401">
        <v>105</v>
      </c>
      <c r="O9" s="140">
        <v>3453</v>
      </c>
      <c r="P9" s="434">
        <v>989</v>
      </c>
      <c r="Q9" s="397">
        <v>6</v>
      </c>
      <c r="R9" s="401">
        <v>154</v>
      </c>
      <c r="S9" s="1027">
        <v>2</v>
      </c>
      <c r="T9" s="397">
        <v>14</v>
      </c>
      <c r="U9" s="401">
        <v>1082</v>
      </c>
      <c r="V9" s="397">
        <v>2</v>
      </c>
      <c r="W9" s="401">
        <v>33</v>
      </c>
      <c r="X9" s="397">
        <v>2</v>
      </c>
      <c r="Y9" s="401">
        <v>108</v>
      </c>
      <c r="Z9" s="140" t="s">
        <v>143</v>
      </c>
      <c r="AA9" s="402"/>
      <c r="AB9" s="145">
        <v>86459</v>
      </c>
      <c r="AC9" s="397">
        <v>17115</v>
      </c>
      <c r="AD9" s="397">
        <v>27315522410</v>
      </c>
      <c r="AE9" s="403">
        <v>96.79</v>
      </c>
      <c r="AF9" s="140">
        <v>11</v>
      </c>
      <c r="AG9" s="404"/>
      <c r="AH9" s="103">
        <v>59394</v>
      </c>
      <c r="AI9" s="105">
        <f>AH9/278964*100</f>
        <v>21.290919258398933</v>
      </c>
      <c r="AJ9" s="106">
        <v>39499</v>
      </c>
      <c r="AK9" s="105">
        <f>AJ9/136457*100</f>
        <v>28.946114893336361</v>
      </c>
      <c r="AL9" s="106">
        <f>(23254720822+49016688)/60680</f>
        <v>384043.13628872775</v>
      </c>
      <c r="AM9" s="109">
        <v>90.32</v>
      </c>
      <c r="AN9" s="105">
        <v>40.299999999999997</v>
      </c>
      <c r="AO9" s="435">
        <v>49.1</v>
      </c>
      <c r="AP9" s="406"/>
      <c r="AQ9" s="103">
        <v>1539</v>
      </c>
      <c r="AR9" s="407">
        <v>26.8</v>
      </c>
      <c r="AS9" s="408">
        <v>4007</v>
      </c>
      <c r="AT9" s="409">
        <v>69.78</v>
      </c>
      <c r="AU9" s="106">
        <v>2815</v>
      </c>
      <c r="AV9" s="411">
        <v>56.1</v>
      </c>
      <c r="AW9" s="408">
        <v>456</v>
      </c>
      <c r="AX9" s="409">
        <v>7.94</v>
      </c>
      <c r="AY9" s="106" t="s">
        <v>143</v>
      </c>
      <c r="AZ9" s="408" t="s">
        <v>143</v>
      </c>
      <c r="BA9" s="408" t="s">
        <v>143</v>
      </c>
      <c r="BB9" s="408" t="s">
        <v>143</v>
      </c>
      <c r="BC9" s="412" t="s">
        <v>143</v>
      </c>
      <c r="BD9" s="103">
        <v>54</v>
      </c>
      <c r="BE9" s="408">
        <v>2022</v>
      </c>
      <c r="BF9" s="408">
        <v>1686</v>
      </c>
      <c r="BG9" s="408">
        <v>2059</v>
      </c>
      <c r="BH9" s="106">
        <v>1478</v>
      </c>
      <c r="BI9" s="104" t="s">
        <v>143</v>
      </c>
      <c r="BJ9" s="408" t="s">
        <v>143</v>
      </c>
      <c r="BK9" s="408" t="s">
        <v>143</v>
      </c>
      <c r="BL9" s="408" t="s">
        <v>143</v>
      </c>
      <c r="BM9" s="408" t="s">
        <v>143</v>
      </c>
      <c r="BN9" s="408" t="s">
        <v>143</v>
      </c>
      <c r="BO9" s="412" t="s">
        <v>143</v>
      </c>
      <c r="BP9" s="103">
        <v>47</v>
      </c>
      <c r="BQ9" s="408">
        <v>1538</v>
      </c>
      <c r="BR9" s="408">
        <v>1962</v>
      </c>
      <c r="BS9" s="408">
        <v>1450</v>
      </c>
      <c r="BT9" s="408">
        <v>991</v>
      </c>
      <c r="BU9" s="408">
        <v>1952</v>
      </c>
      <c r="BV9" s="412">
        <v>1242</v>
      </c>
      <c r="BW9" s="103">
        <v>9</v>
      </c>
      <c r="BX9" s="414">
        <v>163</v>
      </c>
      <c r="BY9" s="408">
        <v>88</v>
      </c>
      <c r="BZ9" s="106">
        <v>0</v>
      </c>
      <c r="CA9" s="120">
        <v>21</v>
      </c>
      <c r="CB9" s="1072">
        <v>8</v>
      </c>
      <c r="CC9" s="415"/>
      <c r="CD9" s="103">
        <v>20</v>
      </c>
      <c r="CE9" s="106">
        <v>2</v>
      </c>
      <c r="CF9" s="416">
        <v>4786</v>
      </c>
      <c r="CG9" s="106">
        <v>494</v>
      </c>
      <c r="CH9" s="436">
        <v>1715.6</v>
      </c>
      <c r="CI9" s="106">
        <v>221</v>
      </c>
      <c r="CJ9" s="412">
        <v>138</v>
      </c>
      <c r="CK9" s="103">
        <v>691</v>
      </c>
      <c r="CL9" s="105">
        <v>247.7</v>
      </c>
      <c r="CM9" s="106">
        <v>186</v>
      </c>
      <c r="CN9" s="142">
        <v>66.7</v>
      </c>
      <c r="CO9" s="404"/>
      <c r="CP9" s="437">
        <v>387</v>
      </c>
      <c r="CQ9" s="437">
        <v>65</v>
      </c>
      <c r="CR9" s="437">
        <v>11816</v>
      </c>
      <c r="CS9" s="437">
        <v>2958</v>
      </c>
      <c r="CT9" s="437">
        <v>3475</v>
      </c>
    </row>
    <row r="10" spans="1:98" ht="15.75" customHeight="1" x14ac:dyDescent="0.2">
      <c r="A10" s="419" t="s">
        <v>147</v>
      </c>
      <c r="B10" s="122">
        <v>4283</v>
      </c>
      <c r="C10" s="131">
        <v>18.91</v>
      </c>
      <c r="D10" s="125">
        <v>3482</v>
      </c>
      <c r="E10" s="396"/>
      <c r="F10" s="135">
        <v>1</v>
      </c>
      <c r="G10" s="420">
        <v>50</v>
      </c>
      <c r="H10" s="438">
        <v>9</v>
      </c>
      <c r="I10" s="438">
        <v>565</v>
      </c>
      <c r="J10" s="438">
        <v>7</v>
      </c>
      <c r="K10" s="438">
        <v>145</v>
      </c>
      <c r="L10" s="420" t="s">
        <v>143</v>
      </c>
      <c r="M10" s="420" t="s">
        <v>143</v>
      </c>
      <c r="N10" s="421">
        <v>58</v>
      </c>
      <c r="O10" s="129">
        <v>2154</v>
      </c>
      <c r="P10" s="422">
        <v>782</v>
      </c>
      <c r="Q10" s="420">
        <v>5</v>
      </c>
      <c r="R10" s="421">
        <v>170</v>
      </c>
      <c r="S10" s="420">
        <v>2</v>
      </c>
      <c r="T10" s="420">
        <v>7</v>
      </c>
      <c r="U10" s="421">
        <v>730</v>
      </c>
      <c r="V10" s="420">
        <v>1</v>
      </c>
      <c r="W10" s="421">
        <v>48</v>
      </c>
      <c r="X10" s="420">
        <v>4</v>
      </c>
      <c r="Y10" s="421">
        <v>216</v>
      </c>
      <c r="Z10" s="202">
        <v>5</v>
      </c>
      <c r="AA10" s="402"/>
      <c r="AB10" s="422">
        <v>69150</v>
      </c>
      <c r="AC10" s="420">
        <v>11126</v>
      </c>
      <c r="AD10" s="420">
        <v>19699330152</v>
      </c>
      <c r="AE10" s="423">
        <v>97</v>
      </c>
      <c r="AF10" s="129">
        <v>13</v>
      </c>
      <c r="AG10" s="404"/>
      <c r="AH10" s="122">
        <v>47422</v>
      </c>
      <c r="AI10" s="124">
        <v>20.9</v>
      </c>
      <c r="AJ10" s="125">
        <v>31900</v>
      </c>
      <c r="AK10" s="124">
        <v>29.3</v>
      </c>
      <c r="AL10" s="1046">
        <v>383287</v>
      </c>
      <c r="AM10" s="127">
        <v>90.6</v>
      </c>
      <c r="AN10" s="124">
        <v>31.5</v>
      </c>
      <c r="AO10" s="424">
        <v>36.799999999999997</v>
      </c>
      <c r="AP10" s="406"/>
      <c r="AQ10" s="186">
        <v>1373</v>
      </c>
      <c r="AR10" s="439">
        <v>26.8</v>
      </c>
      <c r="AS10" s="190">
        <v>3271</v>
      </c>
      <c r="AT10" s="440">
        <v>63.8</v>
      </c>
      <c r="AU10" s="163">
        <v>2496</v>
      </c>
      <c r="AV10" s="441">
        <v>56.3</v>
      </c>
      <c r="AW10" s="190">
        <v>729</v>
      </c>
      <c r="AX10" s="440">
        <v>14.2</v>
      </c>
      <c r="AY10" s="163" t="s">
        <v>143</v>
      </c>
      <c r="AZ10" s="190" t="s">
        <v>143</v>
      </c>
      <c r="BA10" s="190" t="s">
        <v>143</v>
      </c>
      <c r="BB10" s="190" t="s">
        <v>143</v>
      </c>
      <c r="BC10" s="159" t="s">
        <v>143</v>
      </c>
      <c r="BD10" s="186">
        <v>17</v>
      </c>
      <c r="BE10" s="190">
        <v>534</v>
      </c>
      <c r="BF10" s="190">
        <v>456</v>
      </c>
      <c r="BG10" s="190">
        <v>490</v>
      </c>
      <c r="BH10" s="163">
        <v>371</v>
      </c>
      <c r="BI10" s="123" t="s">
        <v>143</v>
      </c>
      <c r="BJ10" s="426" t="s">
        <v>143</v>
      </c>
      <c r="BK10" s="426" t="s">
        <v>143</v>
      </c>
      <c r="BL10" s="426" t="s">
        <v>143</v>
      </c>
      <c r="BM10" s="190" t="s">
        <v>143</v>
      </c>
      <c r="BN10" s="190" t="s">
        <v>143</v>
      </c>
      <c r="BO10" s="159" t="s">
        <v>143</v>
      </c>
      <c r="BP10" s="186">
        <v>66</v>
      </c>
      <c r="BQ10" s="190">
        <v>1311</v>
      </c>
      <c r="BR10" s="190">
        <v>2791</v>
      </c>
      <c r="BS10" s="190">
        <v>2322</v>
      </c>
      <c r="BT10" s="190">
        <v>953</v>
      </c>
      <c r="BU10" s="190">
        <v>2759</v>
      </c>
      <c r="BV10" s="159">
        <v>2027</v>
      </c>
      <c r="BW10" s="186">
        <v>2</v>
      </c>
      <c r="BX10" s="415">
        <v>37</v>
      </c>
      <c r="BY10" s="190">
        <v>22</v>
      </c>
      <c r="BZ10" s="125" t="s">
        <v>143</v>
      </c>
      <c r="CA10" s="195">
        <v>15</v>
      </c>
      <c r="CB10" s="195">
        <v>14</v>
      </c>
      <c r="CC10" s="415"/>
      <c r="CD10" s="186">
        <v>21</v>
      </c>
      <c r="CE10" s="163">
        <v>1</v>
      </c>
      <c r="CF10" s="431">
        <v>4398</v>
      </c>
      <c r="CG10" s="163">
        <v>608</v>
      </c>
      <c r="CH10" s="442">
        <f>CF10/2.26541</f>
        <v>1941.3704362565716</v>
      </c>
      <c r="CI10" s="163">
        <v>169</v>
      </c>
      <c r="CJ10" s="159">
        <v>93</v>
      </c>
      <c r="CK10" s="186">
        <v>591</v>
      </c>
      <c r="CL10" s="124">
        <f>CK10/2.26541</f>
        <v>260.87992901947109</v>
      </c>
      <c r="CM10" s="163">
        <v>194</v>
      </c>
      <c r="CN10" s="164">
        <f>CM10/2.26541</f>
        <v>85.635712740740075</v>
      </c>
      <c r="CO10" s="404"/>
      <c r="CP10" s="443">
        <v>263</v>
      </c>
      <c r="CQ10" s="443">
        <v>55</v>
      </c>
      <c r="CR10" s="443">
        <v>8737</v>
      </c>
      <c r="CS10" s="443">
        <v>2164</v>
      </c>
      <c r="CT10" s="443">
        <v>2946</v>
      </c>
    </row>
    <row r="11" spans="1:98" ht="15.75" customHeight="1" x14ac:dyDescent="0.2">
      <c r="A11" s="395" t="s">
        <v>148</v>
      </c>
      <c r="B11" s="103">
        <v>4645</v>
      </c>
      <c r="C11" s="141">
        <v>15.88</v>
      </c>
      <c r="D11" s="106">
        <v>3837</v>
      </c>
      <c r="E11" s="396"/>
      <c r="F11" s="145">
        <v>2</v>
      </c>
      <c r="G11" s="397">
        <v>100</v>
      </c>
      <c r="H11" s="397">
        <v>20</v>
      </c>
      <c r="I11" s="397">
        <v>1454</v>
      </c>
      <c r="J11" s="397">
        <v>4</v>
      </c>
      <c r="K11" s="397">
        <v>116</v>
      </c>
      <c r="L11" s="397">
        <v>2</v>
      </c>
      <c r="M11" s="397">
        <v>100</v>
      </c>
      <c r="N11" s="401">
        <v>118</v>
      </c>
      <c r="O11" s="140">
        <v>2946</v>
      </c>
      <c r="P11" s="434">
        <v>1034</v>
      </c>
      <c r="Q11" s="397">
        <v>4</v>
      </c>
      <c r="R11" s="401">
        <v>205</v>
      </c>
      <c r="S11" s="397">
        <v>28</v>
      </c>
      <c r="T11" s="397">
        <v>9</v>
      </c>
      <c r="U11" s="401">
        <v>874</v>
      </c>
      <c r="V11" s="397">
        <v>2</v>
      </c>
      <c r="W11" s="401">
        <v>74</v>
      </c>
      <c r="X11" s="397">
        <v>4</v>
      </c>
      <c r="Y11" s="401">
        <v>162</v>
      </c>
      <c r="Z11" s="140">
        <v>4</v>
      </c>
      <c r="AA11" s="402"/>
      <c r="AB11" s="434">
        <v>79026</v>
      </c>
      <c r="AC11" s="397">
        <v>16323</v>
      </c>
      <c r="AD11" s="397">
        <v>24552435198</v>
      </c>
      <c r="AE11" s="403">
        <v>97.6</v>
      </c>
      <c r="AF11" s="140">
        <v>11</v>
      </c>
      <c r="AG11" s="404"/>
      <c r="AH11" s="103">
        <v>52743</v>
      </c>
      <c r="AI11" s="105">
        <v>18.356500977900001</v>
      </c>
      <c r="AJ11" s="106">
        <v>35603</v>
      </c>
      <c r="AK11" s="105">
        <v>26.140618804900001</v>
      </c>
      <c r="AL11" s="414">
        <v>401060.53271200001</v>
      </c>
      <c r="AM11" s="109">
        <v>91.76</v>
      </c>
      <c r="AN11" s="105">
        <v>50.1</v>
      </c>
      <c r="AO11" s="435">
        <v>11.6</v>
      </c>
      <c r="AP11" s="406"/>
      <c r="AQ11" s="103">
        <v>1587</v>
      </c>
      <c r="AR11" s="407">
        <f>(AQ11/6822)*100</f>
        <v>23.262972735268249</v>
      </c>
      <c r="AS11" s="174">
        <v>4034</v>
      </c>
      <c r="AT11" s="460">
        <f>(AS11/6822)*100</f>
        <v>59.132219290530642</v>
      </c>
      <c r="AU11" s="138">
        <v>3016</v>
      </c>
      <c r="AV11" s="461">
        <f>(AU11/6100)*100</f>
        <v>49.442622950819668</v>
      </c>
      <c r="AW11" s="174">
        <v>678</v>
      </c>
      <c r="AX11" s="460">
        <f>(AW11/6822)*100</f>
        <v>9.9384344766930521</v>
      </c>
      <c r="AY11" s="138">
        <v>10</v>
      </c>
      <c r="AZ11" s="408">
        <v>530</v>
      </c>
      <c r="BA11" s="408">
        <v>235</v>
      </c>
      <c r="BB11" s="408">
        <v>411</v>
      </c>
      <c r="BC11" s="412">
        <v>258</v>
      </c>
      <c r="BD11" s="103">
        <v>46</v>
      </c>
      <c r="BE11" s="408">
        <v>2491</v>
      </c>
      <c r="BF11" s="408">
        <v>1880</v>
      </c>
      <c r="BG11" s="408">
        <v>2423</v>
      </c>
      <c r="BH11" s="106">
        <v>1751</v>
      </c>
      <c r="BI11" s="104">
        <v>0</v>
      </c>
      <c r="BJ11" s="408">
        <v>0</v>
      </c>
      <c r="BK11" s="408">
        <v>0</v>
      </c>
      <c r="BL11" s="408">
        <v>0</v>
      </c>
      <c r="BM11" s="408">
        <v>0</v>
      </c>
      <c r="BN11" s="408">
        <v>0</v>
      </c>
      <c r="BO11" s="412">
        <v>0</v>
      </c>
      <c r="BP11" s="103">
        <v>19</v>
      </c>
      <c r="BQ11" s="408">
        <v>1363</v>
      </c>
      <c r="BR11" s="408">
        <v>1147</v>
      </c>
      <c r="BS11" s="408">
        <v>771</v>
      </c>
      <c r="BT11" s="408">
        <v>1032</v>
      </c>
      <c r="BU11" s="408">
        <v>1160</v>
      </c>
      <c r="BV11" s="412">
        <v>675</v>
      </c>
      <c r="BW11" s="103">
        <v>27</v>
      </c>
      <c r="BX11" s="414">
        <v>431</v>
      </c>
      <c r="BY11" s="408">
        <v>305</v>
      </c>
      <c r="BZ11" s="106">
        <v>0</v>
      </c>
      <c r="CA11" s="120">
        <v>40</v>
      </c>
      <c r="CB11" s="120">
        <v>11</v>
      </c>
      <c r="CC11" s="415"/>
      <c r="CD11" s="103">
        <v>27</v>
      </c>
      <c r="CE11" s="106">
        <v>1</v>
      </c>
      <c r="CF11" s="416">
        <v>4899</v>
      </c>
      <c r="CG11" s="106">
        <v>268</v>
      </c>
      <c r="CH11" s="436">
        <v>1705</v>
      </c>
      <c r="CI11" s="106">
        <v>268</v>
      </c>
      <c r="CJ11" s="412">
        <v>197</v>
      </c>
      <c r="CK11" s="103">
        <v>1303</v>
      </c>
      <c r="CL11" s="105">
        <v>451.1</v>
      </c>
      <c r="CM11" s="106">
        <v>452</v>
      </c>
      <c r="CN11" s="142">
        <v>156.5</v>
      </c>
      <c r="CO11" s="404"/>
      <c r="CP11" s="437">
        <v>282</v>
      </c>
      <c r="CQ11" s="437">
        <v>100</v>
      </c>
      <c r="CR11" s="437">
        <v>10223</v>
      </c>
      <c r="CS11" s="437">
        <v>2360</v>
      </c>
      <c r="CT11" s="437">
        <v>2919</v>
      </c>
    </row>
    <row r="12" spans="1:98" ht="15.75" customHeight="1" x14ac:dyDescent="0.2">
      <c r="A12" s="419" t="s">
        <v>149</v>
      </c>
      <c r="B12" s="150">
        <v>5342</v>
      </c>
      <c r="C12" s="152">
        <v>17.45</v>
      </c>
      <c r="D12" s="151">
        <v>4319</v>
      </c>
      <c r="E12" s="396"/>
      <c r="F12" s="166">
        <v>3</v>
      </c>
      <c r="G12" s="444">
        <v>205</v>
      </c>
      <c r="H12" s="444">
        <v>21</v>
      </c>
      <c r="I12" s="444">
        <v>1289</v>
      </c>
      <c r="J12" s="444">
        <v>4</v>
      </c>
      <c r="K12" s="444">
        <v>116</v>
      </c>
      <c r="L12" s="444">
        <v>1</v>
      </c>
      <c r="M12" s="444">
        <v>50</v>
      </c>
      <c r="N12" s="445">
        <v>22</v>
      </c>
      <c r="O12" s="446">
        <v>706</v>
      </c>
      <c r="P12" s="447">
        <v>1071</v>
      </c>
      <c r="Q12" s="444">
        <v>9</v>
      </c>
      <c r="R12" s="445">
        <v>370</v>
      </c>
      <c r="S12" s="444">
        <v>1</v>
      </c>
      <c r="T12" s="420">
        <v>13</v>
      </c>
      <c r="U12" s="421">
        <v>1318</v>
      </c>
      <c r="V12" s="420">
        <v>0</v>
      </c>
      <c r="W12" s="421">
        <v>0</v>
      </c>
      <c r="X12" s="420">
        <v>0</v>
      </c>
      <c r="Y12" s="421">
        <v>0</v>
      </c>
      <c r="Z12" s="446">
        <v>3</v>
      </c>
      <c r="AA12" s="402"/>
      <c r="AB12" s="135">
        <v>95888</v>
      </c>
      <c r="AC12" s="420">
        <v>19648</v>
      </c>
      <c r="AD12" s="420">
        <v>25882889625</v>
      </c>
      <c r="AE12" s="423">
        <v>96.51</v>
      </c>
      <c r="AF12" s="446">
        <v>18</v>
      </c>
      <c r="AG12" s="404"/>
      <c r="AH12" s="122">
        <v>57936</v>
      </c>
      <c r="AI12" s="124">
        <v>18.91</v>
      </c>
      <c r="AJ12" s="125">
        <v>38902</v>
      </c>
      <c r="AK12" s="124">
        <v>26.87</v>
      </c>
      <c r="AL12" s="125">
        <v>448417.9</v>
      </c>
      <c r="AM12" s="127">
        <v>89.88</v>
      </c>
      <c r="AN12" s="152">
        <v>37</v>
      </c>
      <c r="AO12" s="448">
        <v>22.2</v>
      </c>
      <c r="AP12" s="406"/>
      <c r="AQ12" s="150">
        <v>1587</v>
      </c>
      <c r="AR12" s="449">
        <v>24.4</v>
      </c>
      <c r="AS12" s="155">
        <v>3950</v>
      </c>
      <c r="AT12" s="450">
        <v>60.7</v>
      </c>
      <c r="AU12" s="151">
        <v>3037</v>
      </c>
      <c r="AV12" s="451">
        <v>53.5</v>
      </c>
      <c r="AW12" s="155">
        <v>940</v>
      </c>
      <c r="AX12" s="450">
        <v>14.5</v>
      </c>
      <c r="AY12" s="151">
        <v>6</v>
      </c>
      <c r="AZ12" s="155">
        <v>287</v>
      </c>
      <c r="BA12" s="155">
        <v>178</v>
      </c>
      <c r="BB12" s="155">
        <v>218</v>
      </c>
      <c r="BC12" s="452">
        <v>110</v>
      </c>
      <c r="BD12" s="150">
        <v>47</v>
      </c>
      <c r="BE12" s="155">
        <v>1860</v>
      </c>
      <c r="BF12" s="155">
        <v>2097</v>
      </c>
      <c r="BG12" s="155">
        <v>2073</v>
      </c>
      <c r="BH12" s="151">
        <v>1734</v>
      </c>
      <c r="BI12" s="157" t="s">
        <v>143</v>
      </c>
      <c r="BJ12" s="157" t="s">
        <v>143</v>
      </c>
      <c r="BK12" s="157" t="s">
        <v>143</v>
      </c>
      <c r="BL12" s="453" t="s">
        <v>143</v>
      </c>
      <c r="BM12" s="151" t="s">
        <v>143</v>
      </c>
      <c r="BN12" s="157" t="s">
        <v>143</v>
      </c>
      <c r="BO12" s="168" t="s">
        <v>143</v>
      </c>
      <c r="BP12" s="150">
        <v>29</v>
      </c>
      <c r="BQ12" s="155">
        <v>1940</v>
      </c>
      <c r="BR12" s="155">
        <v>1508</v>
      </c>
      <c r="BS12" s="155">
        <v>1166</v>
      </c>
      <c r="BT12" s="155">
        <v>1380</v>
      </c>
      <c r="BU12" s="155">
        <v>1654</v>
      </c>
      <c r="BV12" s="452">
        <v>937</v>
      </c>
      <c r="BW12" s="150">
        <v>22</v>
      </c>
      <c r="BX12" s="453">
        <v>407</v>
      </c>
      <c r="BY12" s="426">
        <v>261</v>
      </c>
      <c r="BZ12" s="125">
        <v>0</v>
      </c>
      <c r="CA12" s="168">
        <v>42</v>
      </c>
      <c r="CB12" s="168">
        <v>9</v>
      </c>
      <c r="CC12" s="415"/>
      <c r="CD12" s="150">
        <v>22</v>
      </c>
      <c r="CE12" s="151" t="s">
        <v>143</v>
      </c>
      <c r="CF12" s="454">
        <v>5609</v>
      </c>
      <c r="CG12" s="151" t="s">
        <v>143</v>
      </c>
      <c r="CH12" s="455">
        <v>1831.4</v>
      </c>
      <c r="CI12" s="151">
        <v>277</v>
      </c>
      <c r="CJ12" s="452">
        <v>162</v>
      </c>
      <c r="CK12" s="150">
        <v>1258</v>
      </c>
      <c r="CL12" s="152">
        <v>410.8</v>
      </c>
      <c r="CM12" s="151">
        <v>247</v>
      </c>
      <c r="CN12" s="235">
        <v>80.599999999999994</v>
      </c>
      <c r="CO12" s="404"/>
      <c r="CP12" s="433">
        <v>324</v>
      </c>
      <c r="CQ12" s="433">
        <v>47</v>
      </c>
      <c r="CR12" s="433">
        <v>13729</v>
      </c>
      <c r="CS12" s="433">
        <v>2350</v>
      </c>
      <c r="CT12" s="433">
        <v>2636</v>
      </c>
    </row>
    <row r="13" spans="1:98" ht="15.75" customHeight="1" x14ac:dyDescent="0.2">
      <c r="A13" s="395" t="s">
        <v>150</v>
      </c>
      <c r="B13" s="139">
        <v>2167</v>
      </c>
      <c r="C13" s="179">
        <v>8.69</v>
      </c>
      <c r="D13" s="138">
        <v>1779</v>
      </c>
      <c r="E13" s="396"/>
      <c r="F13" s="183">
        <v>2</v>
      </c>
      <c r="G13" s="456">
        <v>150</v>
      </c>
      <c r="H13" s="456">
        <v>15</v>
      </c>
      <c r="I13" s="456">
        <v>1264</v>
      </c>
      <c r="J13" s="456">
        <v>17</v>
      </c>
      <c r="K13" s="456">
        <v>484</v>
      </c>
      <c r="L13" s="456">
        <v>1</v>
      </c>
      <c r="M13" s="456">
        <v>50</v>
      </c>
      <c r="N13" s="457">
        <v>69</v>
      </c>
      <c r="O13" s="197">
        <v>1996</v>
      </c>
      <c r="P13" s="458">
        <v>814</v>
      </c>
      <c r="Q13" s="456">
        <v>2</v>
      </c>
      <c r="R13" s="457">
        <v>100</v>
      </c>
      <c r="S13" s="456">
        <v>5</v>
      </c>
      <c r="T13" s="456">
        <v>5</v>
      </c>
      <c r="U13" s="457">
        <v>429</v>
      </c>
      <c r="V13" s="456">
        <v>1</v>
      </c>
      <c r="W13" s="457">
        <v>18</v>
      </c>
      <c r="X13" s="456" t="s">
        <v>143</v>
      </c>
      <c r="Y13" s="457" t="s">
        <v>143</v>
      </c>
      <c r="Z13" s="197">
        <v>0</v>
      </c>
      <c r="AA13" s="402"/>
      <c r="AB13" s="183">
        <v>71909</v>
      </c>
      <c r="AC13" s="456">
        <v>11900</v>
      </c>
      <c r="AD13" s="456">
        <v>20601441753</v>
      </c>
      <c r="AE13" s="178">
        <v>97.9</v>
      </c>
      <c r="AF13" s="197">
        <v>14</v>
      </c>
      <c r="AG13" s="404"/>
      <c r="AH13" s="139">
        <v>44430</v>
      </c>
      <c r="AI13" s="171">
        <v>18.219171341403406</v>
      </c>
      <c r="AJ13" s="138">
        <v>28712</v>
      </c>
      <c r="AK13" s="171">
        <v>27.766549006334319</v>
      </c>
      <c r="AL13" s="138">
        <v>412454</v>
      </c>
      <c r="AM13" s="196">
        <v>92.06</v>
      </c>
      <c r="AN13" s="171">
        <v>41.4</v>
      </c>
      <c r="AO13" s="459">
        <v>31.1</v>
      </c>
      <c r="AP13" s="406"/>
      <c r="AQ13" s="139">
        <v>1264</v>
      </c>
      <c r="AR13" s="407">
        <v>22</v>
      </c>
      <c r="AS13" s="174">
        <v>3444</v>
      </c>
      <c r="AT13" s="460">
        <v>60</v>
      </c>
      <c r="AU13" s="138">
        <v>2704</v>
      </c>
      <c r="AV13" s="461">
        <v>52</v>
      </c>
      <c r="AW13" s="174">
        <v>607</v>
      </c>
      <c r="AX13" s="460">
        <v>10</v>
      </c>
      <c r="AY13" s="138">
        <v>10</v>
      </c>
      <c r="AZ13" s="174">
        <v>638</v>
      </c>
      <c r="BA13" s="174">
        <v>342</v>
      </c>
      <c r="BB13" s="174">
        <v>520</v>
      </c>
      <c r="BC13" s="176">
        <v>321</v>
      </c>
      <c r="BD13" s="139">
        <v>35</v>
      </c>
      <c r="BE13" s="174">
        <v>1720</v>
      </c>
      <c r="BF13" s="174">
        <v>1446</v>
      </c>
      <c r="BG13" s="174">
        <v>1706</v>
      </c>
      <c r="BH13" s="106">
        <v>1256</v>
      </c>
      <c r="BI13" s="170">
        <v>0</v>
      </c>
      <c r="BJ13" s="174">
        <v>0</v>
      </c>
      <c r="BK13" s="174">
        <v>0</v>
      </c>
      <c r="BL13" s="174">
        <v>0</v>
      </c>
      <c r="BM13" s="174">
        <v>0</v>
      </c>
      <c r="BN13" s="174">
        <v>0</v>
      </c>
      <c r="BO13" s="176">
        <v>0</v>
      </c>
      <c r="BP13" s="139">
        <v>24</v>
      </c>
      <c r="BQ13" s="174">
        <v>1446</v>
      </c>
      <c r="BR13" s="174">
        <v>1360</v>
      </c>
      <c r="BS13" s="174">
        <v>816</v>
      </c>
      <c r="BT13" s="174">
        <v>1034</v>
      </c>
      <c r="BU13" s="174">
        <v>1272</v>
      </c>
      <c r="BV13" s="176">
        <v>729</v>
      </c>
      <c r="BW13" s="139">
        <v>25</v>
      </c>
      <c r="BX13" s="462">
        <v>210</v>
      </c>
      <c r="BY13" s="174">
        <v>162</v>
      </c>
      <c r="BZ13" s="138">
        <v>0</v>
      </c>
      <c r="CA13" s="185">
        <v>4</v>
      </c>
      <c r="CB13" s="185">
        <v>25</v>
      </c>
      <c r="CC13" s="415"/>
      <c r="CD13" s="139">
        <v>17</v>
      </c>
      <c r="CE13" s="138">
        <v>1</v>
      </c>
      <c r="CF13" s="463">
        <v>5140</v>
      </c>
      <c r="CG13" s="138">
        <v>528</v>
      </c>
      <c r="CH13" s="464">
        <v>2107.6999999999998</v>
      </c>
      <c r="CI13" s="138">
        <v>257</v>
      </c>
      <c r="CJ13" s="176">
        <v>142</v>
      </c>
      <c r="CK13" s="139">
        <v>1203</v>
      </c>
      <c r="CL13" s="171">
        <v>493.3</v>
      </c>
      <c r="CM13" s="138">
        <v>205</v>
      </c>
      <c r="CN13" s="180">
        <v>83.2</v>
      </c>
      <c r="CO13" s="404"/>
      <c r="CP13" s="465">
        <v>171</v>
      </c>
      <c r="CQ13" s="465">
        <v>54</v>
      </c>
      <c r="CR13" s="465">
        <v>10788</v>
      </c>
      <c r="CS13" s="465">
        <v>1686</v>
      </c>
      <c r="CT13" s="465">
        <v>1544</v>
      </c>
    </row>
    <row r="14" spans="1:98" ht="15.75" customHeight="1" x14ac:dyDescent="0.2">
      <c r="A14" s="419" t="s">
        <v>151</v>
      </c>
      <c r="B14" s="122">
        <v>3106</v>
      </c>
      <c r="C14" s="131">
        <v>10.1</v>
      </c>
      <c r="D14" s="125">
        <v>2520</v>
      </c>
      <c r="E14" s="396"/>
      <c r="F14" s="135">
        <v>2</v>
      </c>
      <c r="G14" s="420">
        <v>150</v>
      </c>
      <c r="H14" s="438">
        <v>20</v>
      </c>
      <c r="I14" s="438">
        <v>1354</v>
      </c>
      <c r="J14" s="438">
        <v>3</v>
      </c>
      <c r="K14" s="438">
        <v>73</v>
      </c>
      <c r="L14" s="420">
        <v>1</v>
      </c>
      <c r="M14" s="420">
        <v>60</v>
      </c>
      <c r="N14" s="421">
        <v>29</v>
      </c>
      <c r="O14" s="129">
        <v>1096</v>
      </c>
      <c r="P14" s="422">
        <v>966</v>
      </c>
      <c r="Q14" s="420">
        <v>8</v>
      </c>
      <c r="R14" s="421">
        <v>300</v>
      </c>
      <c r="S14" s="420">
        <v>2</v>
      </c>
      <c r="T14" s="420">
        <v>12</v>
      </c>
      <c r="U14" s="421">
        <v>1109</v>
      </c>
      <c r="V14" s="420" t="s">
        <v>143</v>
      </c>
      <c r="W14" s="421" t="s">
        <v>143</v>
      </c>
      <c r="X14" s="420" t="s">
        <v>143</v>
      </c>
      <c r="Y14" s="421" t="s">
        <v>143</v>
      </c>
      <c r="Z14" s="202" t="s">
        <v>143</v>
      </c>
      <c r="AA14" s="402"/>
      <c r="AB14" s="422">
        <v>82424</v>
      </c>
      <c r="AC14" s="420">
        <v>16375</v>
      </c>
      <c r="AD14" s="420">
        <v>23926190123</v>
      </c>
      <c r="AE14" s="423">
        <v>97.72</v>
      </c>
      <c r="AF14" s="129">
        <v>22</v>
      </c>
      <c r="AG14" s="404"/>
      <c r="AH14" s="122">
        <v>53196</v>
      </c>
      <c r="AI14" s="124">
        <v>19.3</v>
      </c>
      <c r="AJ14" s="125">
        <v>34624</v>
      </c>
      <c r="AK14" s="124">
        <v>28.1</v>
      </c>
      <c r="AL14" s="125">
        <v>351775</v>
      </c>
      <c r="AM14" s="127">
        <v>93.4</v>
      </c>
      <c r="AN14" s="124">
        <v>43.9</v>
      </c>
      <c r="AO14" s="424">
        <v>15.6</v>
      </c>
      <c r="AP14" s="406"/>
      <c r="AQ14" s="186">
        <v>948</v>
      </c>
      <c r="AR14" s="439">
        <v>15.1</v>
      </c>
      <c r="AS14" s="190">
        <v>3424</v>
      </c>
      <c r="AT14" s="440">
        <v>54.6</v>
      </c>
      <c r="AU14" s="163">
        <v>2829</v>
      </c>
      <c r="AV14" s="441">
        <v>51.1</v>
      </c>
      <c r="AW14" s="190">
        <v>1093</v>
      </c>
      <c r="AX14" s="440">
        <v>17.399999999999999</v>
      </c>
      <c r="AY14" s="163">
        <v>11</v>
      </c>
      <c r="AZ14" s="190">
        <v>461</v>
      </c>
      <c r="BA14" s="190">
        <v>329</v>
      </c>
      <c r="BB14" s="190">
        <v>474</v>
      </c>
      <c r="BC14" s="159">
        <v>284</v>
      </c>
      <c r="BD14" s="186">
        <v>34</v>
      </c>
      <c r="BE14" s="190">
        <v>1644</v>
      </c>
      <c r="BF14" s="190">
        <v>1286</v>
      </c>
      <c r="BG14" s="190">
        <v>1793</v>
      </c>
      <c r="BH14" s="163">
        <v>1316</v>
      </c>
      <c r="BI14" s="123">
        <v>3</v>
      </c>
      <c r="BJ14" s="426">
        <v>165</v>
      </c>
      <c r="BK14" s="426">
        <v>210</v>
      </c>
      <c r="BL14" s="426">
        <v>90</v>
      </c>
      <c r="BM14" s="190">
        <v>73</v>
      </c>
      <c r="BN14" s="190">
        <v>164</v>
      </c>
      <c r="BO14" s="159">
        <v>82</v>
      </c>
      <c r="BP14" s="186">
        <v>12</v>
      </c>
      <c r="BQ14" s="190">
        <v>565</v>
      </c>
      <c r="BR14" s="190">
        <v>592</v>
      </c>
      <c r="BS14" s="190">
        <v>380</v>
      </c>
      <c r="BT14" s="190">
        <v>480</v>
      </c>
      <c r="BU14" s="190">
        <v>536</v>
      </c>
      <c r="BV14" s="159">
        <v>352</v>
      </c>
      <c r="BW14" s="186">
        <v>22</v>
      </c>
      <c r="BX14" s="415">
        <v>393</v>
      </c>
      <c r="BY14" s="190">
        <v>329</v>
      </c>
      <c r="BZ14" s="125">
        <v>22</v>
      </c>
      <c r="CA14" s="195">
        <v>3</v>
      </c>
      <c r="CB14" s="195">
        <v>23</v>
      </c>
      <c r="CC14" s="415"/>
      <c r="CD14" s="186">
        <v>21</v>
      </c>
      <c r="CE14" s="163" t="s">
        <v>143</v>
      </c>
      <c r="CF14" s="431">
        <v>4423</v>
      </c>
      <c r="CG14" s="163" t="s">
        <v>143</v>
      </c>
      <c r="CH14" s="442">
        <v>1602.5013948972123</v>
      </c>
      <c r="CI14" s="163">
        <v>256</v>
      </c>
      <c r="CJ14" s="159">
        <v>137</v>
      </c>
      <c r="CK14" s="186">
        <v>1178</v>
      </c>
      <c r="CL14" s="124">
        <v>407.6</v>
      </c>
      <c r="CM14" s="163">
        <v>201</v>
      </c>
      <c r="CN14" s="164">
        <v>69.599999999999994</v>
      </c>
      <c r="CO14" s="404"/>
      <c r="CP14" s="443">
        <v>227</v>
      </c>
      <c r="CQ14" s="443">
        <v>40</v>
      </c>
      <c r="CR14" s="443">
        <v>10160</v>
      </c>
      <c r="CS14" s="443">
        <v>2579</v>
      </c>
      <c r="CT14" s="443">
        <v>2550</v>
      </c>
    </row>
    <row r="15" spans="1:98" ht="15.75" customHeight="1" x14ac:dyDescent="0.2">
      <c r="A15" s="395" t="s">
        <v>153</v>
      </c>
      <c r="B15" s="103">
        <v>3238</v>
      </c>
      <c r="C15" s="179">
        <v>9.8000000000000007</v>
      </c>
      <c r="D15" s="106">
        <v>2659</v>
      </c>
      <c r="E15" s="396"/>
      <c r="F15" s="145">
        <v>1</v>
      </c>
      <c r="G15" s="397">
        <v>74</v>
      </c>
      <c r="H15" s="397">
        <v>16</v>
      </c>
      <c r="I15" s="397">
        <v>1164</v>
      </c>
      <c r="J15" s="397">
        <v>7</v>
      </c>
      <c r="K15" s="397">
        <v>171</v>
      </c>
      <c r="L15" s="397">
        <v>1</v>
      </c>
      <c r="M15" s="397">
        <v>60</v>
      </c>
      <c r="N15" s="401">
        <v>15</v>
      </c>
      <c r="O15" s="140">
        <v>605</v>
      </c>
      <c r="P15" s="434">
        <v>944</v>
      </c>
      <c r="Q15" s="397">
        <v>4</v>
      </c>
      <c r="R15" s="401">
        <v>170</v>
      </c>
      <c r="S15" s="397">
        <v>2</v>
      </c>
      <c r="T15" s="397">
        <v>8</v>
      </c>
      <c r="U15" s="401">
        <v>754</v>
      </c>
      <c r="V15" s="397">
        <v>3</v>
      </c>
      <c r="W15" s="401">
        <v>150</v>
      </c>
      <c r="X15" s="397">
        <v>2</v>
      </c>
      <c r="Y15" s="401">
        <v>16</v>
      </c>
      <c r="Z15" s="140">
        <v>6</v>
      </c>
      <c r="AA15" s="402"/>
      <c r="AB15" s="434">
        <v>84645</v>
      </c>
      <c r="AC15" s="397">
        <v>15823</v>
      </c>
      <c r="AD15" s="397">
        <v>21536935098</v>
      </c>
      <c r="AE15" s="403">
        <v>96.3</v>
      </c>
      <c r="AF15" s="140">
        <v>18</v>
      </c>
      <c r="AG15" s="404"/>
      <c r="AH15" s="103">
        <v>64452</v>
      </c>
      <c r="AI15" s="105">
        <v>20</v>
      </c>
      <c r="AJ15" s="106">
        <v>41582</v>
      </c>
      <c r="AK15" s="105">
        <v>29.3</v>
      </c>
      <c r="AL15" s="414">
        <v>360643</v>
      </c>
      <c r="AM15" s="109">
        <v>88.8</v>
      </c>
      <c r="AN15" s="105">
        <v>38.4</v>
      </c>
      <c r="AO15" s="435">
        <v>9.1999999999999993</v>
      </c>
      <c r="AP15" s="406"/>
      <c r="AQ15" s="103">
        <v>300</v>
      </c>
      <c r="AR15" s="407">
        <v>3.7</v>
      </c>
      <c r="AS15" s="408">
        <v>4245</v>
      </c>
      <c r="AT15" s="409">
        <v>52.8</v>
      </c>
      <c r="AU15" s="106">
        <v>2042</v>
      </c>
      <c r="AV15" s="411">
        <v>28</v>
      </c>
      <c r="AW15" s="408">
        <v>2386</v>
      </c>
      <c r="AX15" s="409">
        <v>29.7</v>
      </c>
      <c r="AY15" s="106">
        <v>25</v>
      </c>
      <c r="AZ15" s="408">
        <v>1187</v>
      </c>
      <c r="BA15" s="466">
        <v>793</v>
      </c>
      <c r="BB15" s="408">
        <v>799</v>
      </c>
      <c r="BC15" s="412">
        <v>1156</v>
      </c>
      <c r="BD15" s="103">
        <v>30</v>
      </c>
      <c r="BE15" s="408">
        <v>1216</v>
      </c>
      <c r="BF15" s="408">
        <v>982</v>
      </c>
      <c r="BG15" s="408">
        <v>1153</v>
      </c>
      <c r="BH15" s="106">
        <v>1037</v>
      </c>
      <c r="BI15" s="104" t="s">
        <v>143</v>
      </c>
      <c r="BJ15" s="408" t="s">
        <v>143</v>
      </c>
      <c r="BK15" s="408" t="s">
        <v>143</v>
      </c>
      <c r="BL15" s="408" t="s">
        <v>143</v>
      </c>
      <c r="BM15" s="408" t="s">
        <v>143</v>
      </c>
      <c r="BN15" s="408" t="s">
        <v>143</v>
      </c>
      <c r="BO15" s="412" t="s">
        <v>143</v>
      </c>
      <c r="BP15" s="103">
        <v>5</v>
      </c>
      <c r="BQ15" s="408">
        <v>461</v>
      </c>
      <c r="BR15" s="408">
        <v>337</v>
      </c>
      <c r="BS15" s="408">
        <v>160</v>
      </c>
      <c r="BT15" s="408">
        <v>291</v>
      </c>
      <c r="BU15" s="408">
        <v>424</v>
      </c>
      <c r="BV15" s="412">
        <v>157</v>
      </c>
      <c r="BW15" s="103">
        <v>18</v>
      </c>
      <c r="BX15" s="414">
        <v>337</v>
      </c>
      <c r="BY15" s="408">
        <v>306</v>
      </c>
      <c r="BZ15" s="106">
        <v>22</v>
      </c>
      <c r="CA15" s="120">
        <v>1</v>
      </c>
      <c r="CB15" s="120">
        <v>4</v>
      </c>
      <c r="CC15" s="415"/>
      <c r="CD15" s="103">
        <v>22</v>
      </c>
      <c r="CE15" s="106">
        <v>1</v>
      </c>
      <c r="CF15" s="416">
        <v>5700</v>
      </c>
      <c r="CG15" s="106">
        <v>40</v>
      </c>
      <c r="CH15" s="436">
        <v>1770.7</v>
      </c>
      <c r="CI15" s="106">
        <v>240</v>
      </c>
      <c r="CJ15" s="412">
        <v>169</v>
      </c>
      <c r="CK15" s="103">
        <v>861</v>
      </c>
      <c r="CL15" s="105">
        <v>258.60000000000002</v>
      </c>
      <c r="CM15" s="106">
        <v>417</v>
      </c>
      <c r="CN15" s="142">
        <v>125.2</v>
      </c>
      <c r="CO15" s="404"/>
      <c r="CP15" s="437">
        <v>211</v>
      </c>
      <c r="CQ15" s="437">
        <v>62</v>
      </c>
      <c r="CR15" s="437">
        <v>10886</v>
      </c>
      <c r="CS15" s="437">
        <v>2651</v>
      </c>
      <c r="CT15" s="437">
        <v>2469</v>
      </c>
    </row>
    <row r="16" spans="1:98" ht="15.75" customHeight="1" x14ac:dyDescent="0.2">
      <c r="A16" s="419" t="s">
        <v>154</v>
      </c>
      <c r="B16" s="186">
        <v>4306</v>
      </c>
      <c r="C16" s="162">
        <v>12.7</v>
      </c>
      <c r="D16" s="163">
        <v>3345</v>
      </c>
      <c r="E16" s="396"/>
      <c r="F16" s="135">
        <v>2</v>
      </c>
      <c r="G16" s="420">
        <v>180</v>
      </c>
      <c r="H16" s="420">
        <v>16</v>
      </c>
      <c r="I16" s="420">
        <v>1315</v>
      </c>
      <c r="J16" s="420">
        <v>11</v>
      </c>
      <c r="K16" s="420">
        <v>310</v>
      </c>
      <c r="L16" s="420">
        <v>1</v>
      </c>
      <c r="M16" s="420">
        <v>50</v>
      </c>
      <c r="N16" s="421">
        <v>59</v>
      </c>
      <c r="O16" s="129">
        <v>1781</v>
      </c>
      <c r="P16" s="422">
        <v>1261</v>
      </c>
      <c r="Q16" s="420">
        <v>5</v>
      </c>
      <c r="R16" s="421">
        <v>180</v>
      </c>
      <c r="S16" s="420">
        <v>4</v>
      </c>
      <c r="T16" s="420">
        <v>12</v>
      </c>
      <c r="U16" s="421">
        <v>1189</v>
      </c>
      <c r="V16" s="420">
        <v>5</v>
      </c>
      <c r="W16" s="421">
        <v>123</v>
      </c>
      <c r="X16" s="420">
        <v>2</v>
      </c>
      <c r="Y16" s="421">
        <v>41</v>
      </c>
      <c r="Z16" s="129">
        <v>1</v>
      </c>
      <c r="AA16" s="402"/>
      <c r="AB16" s="135">
        <v>97949</v>
      </c>
      <c r="AC16" s="420">
        <v>20715</v>
      </c>
      <c r="AD16" s="420">
        <v>28709441108</v>
      </c>
      <c r="AE16" s="423">
        <v>96.3</v>
      </c>
      <c r="AF16" s="129">
        <v>7</v>
      </c>
      <c r="AG16" s="404"/>
      <c r="AH16" s="122">
        <v>62136</v>
      </c>
      <c r="AI16" s="124">
        <v>19.399999999999999</v>
      </c>
      <c r="AJ16" s="125">
        <v>41518</v>
      </c>
      <c r="AK16" s="124">
        <v>28.4</v>
      </c>
      <c r="AL16" s="125">
        <v>395655</v>
      </c>
      <c r="AM16" s="127">
        <v>90.1</v>
      </c>
      <c r="AN16" s="124">
        <v>34.4</v>
      </c>
      <c r="AO16" s="424">
        <v>20.6</v>
      </c>
      <c r="AP16" s="406"/>
      <c r="AQ16" s="122">
        <v>1941</v>
      </c>
      <c r="AR16" s="1055">
        <v>26.4</v>
      </c>
      <c r="AS16" s="1056">
        <v>2555</v>
      </c>
      <c r="AT16" s="1057">
        <v>34.700000000000003</v>
      </c>
      <c r="AU16" s="1058">
        <v>2003</v>
      </c>
      <c r="AV16" s="1059">
        <v>31.1</v>
      </c>
      <c r="AW16" s="1048">
        <v>997</v>
      </c>
      <c r="AX16" s="1050">
        <v>13.5</v>
      </c>
      <c r="AY16" s="1049">
        <v>32</v>
      </c>
      <c r="AZ16" s="426">
        <v>1371</v>
      </c>
      <c r="BA16" s="190">
        <v>686</v>
      </c>
      <c r="BB16" s="426">
        <v>1371</v>
      </c>
      <c r="BC16" s="429">
        <v>733</v>
      </c>
      <c r="BD16" s="122">
        <v>24</v>
      </c>
      <c r="BE16" s="426">
        <v>1609</v>
      </c>
      <c r="BF16" s="426">
        <v>1291</v>
      </c>
      <c r="BG16" s="426">
        <v>1638</v>
      </c>
      <c r="BH16" s="125">
        <v>1190</v>
      </c>
      <c r="BI16" s="123" t="s">
        <v>143</v>
      </c>
      <c r="BJ16" s="426" t="s">
        <v>143</v>
      </c>
      <c r="BK16" s="426" t="s">
        <v>143</v>
      </c>
      <c r="BL16" s="426" t="s">
        <v>143</v>
      </c>
      <c r="BM16" s="426" t="s">
        <v>143</v>
      </c>
      <c r="BN16" s="426" t="s">
        <v>143</v>
      </c>
      <c r="BO16" s="429" t="s">
        <v>143</v>
      </c>
      <c r="BP16" s="122">
        <v>16</v>
      </c>
      <c r="BQ16" s="426">
        <v>1271</v>
      </c>
      <c r="BR16" s="426">
        <v>821</v>
      </c>
      <c r="BS16" s="426">
        <v>589</v>
      </c>
      <c r="BT16" s="426">
        <v>1134</v>
      </c>
      <c r="BU16" s="426">
        <v>917</v>
      </c>
      <c r="BV16" s="429">
        <v>535</v>
      </c>
      <c r="BW16" s="122">
        <v>13</v>
      </c>
      <c r="BX16" s="430">
        <v>268</v>
      </c>
      <c r="BY16" s="426">
        <v>278</v>
      </c>
      <c r="BZ16" s="125">
        <v>2</v>
      </c>
      <c r="CA16" s="148">
        <v>2</v>
      </c>
      <c r="CB16" s="148">
        <v>5</v>
      </c>
      <c r="CC16" s="415"/>
      <c r="CD16" s="122">
        <v>27</v>
      </c>
      <c r="CE16" s="125">
        <v>1</v>
      </c>
      <c r="CF16" s="431">
        <v>4878</v>
      </c>
      <c r="CG16" s="125">
        <v>700</v>
      </c>
      <c r="CH16" s="432">
        <v>1444</v>
      </c>
      <c r="CI16" s="125">
        <v>255</v>
      </c>
      <c r="CJ16" s="429">
        <v>164</v>
      </c>
      <c r="CK16" s="122">
        <v>595</v>
      </c>
      <c r="CL16" s="124">
        <v>173.5</v>
      </c>
      <c r="CM16" s="125">
        <v>231</v>
      </c>
      <c r="CN16" s="132">
        <v>67.3</v>
      </c>
      <c r="CO16" s="404"/>
      <c r="CP16" s="433">
        <v>305</v>
      </c>
      <c r="CQ16" s="433">
        <v>49</v>
      </c>
      <c r="CR16" s="433">
        <v>12570</v>
      </c>
      <c r="CS16" s="433">
        <v>2639</v>
      </c>
      <c r="CT16" s="433">
        <v>2536</v>
      </c>
    </row>
    <row r="17" spans="1:98" ht="15.75" customHeight="1" x14ac:dyDescent="0.2">
      <c r="A17" s="395" t="s">
        <v>155</v>
      </c>
      <c r="B17" s="139">
        <v>5156</v>
      </c>
      <c r="C17" s="179">
        <v>19.2</v>
      </c>
      <c r="D17" s="138">
        <v>4027</v>
      </c>
      <c r="E17" s="396"/>
      <c r="F17" s="183">
        <v>2</v>
      </c>
      <c r="G17" s="456">
        <v>170</v>
      </c>
      <c r="H17" s="456">
        <v>24</v>
      </c>
      <c r="I17" s="456">
        <v>1578</v>
      </c>
      <c r="J17" s="456">
        <v>2</v>
      </c>
      <c r="K17" s="456">
        <v>43</v>
      </c>
      <c r="L17" s="456" t="s">
        <v>143</v>
      </c>
      <c r="M17" s="456" t="s">
        <v>143</v>
      </c>
      <c r="N17" s="457">
        <v>25</v>
      </c>
      <c r="O17" s="197">
        <v>1195</v>
      </c>
      <c r="P17" s="458">
        <v>829</v>
      </c>
      <c r="Q17" s="456">
        <v>5</v>
      </c>
      <c r="R17" s="457">
        <v>240</v>
      </c>
      <c r="S17" s="456">
        <v>7</v>
      </c>
      <c r="T17" s="456">
        <v>12</v>
      </c>
      <c r="U17" s="457">
        <v>1038</v>
      </c>
      <c r="V17" s="456" t="s">
        <v>143</v>
      </c>
      <c r="W17" s="457" t="s">
        <v>143</v>
      </c>
      <c r="X17" s="456" t="s">
        <v>143</v>
      </c>
      <c r="Y17" s="457" t="s">
        <v>143</v>
      </c>
      <c r="Z17" s="197" t="s">
        <v>143</v>
      </c>
      <c r="AA17" s="402"/>
      <c r="AB17" s="183">
        <v>71004</v>
      </c>
      <c r="AC17" s="456">
        <v>13773</v>
      </c>
      <c r="AD17" s="456">
        <v>21174344422</v>
      </c>
      <c r="AE17" s="178">
        <v>96.01</v>
      </c>
      <c r="AF17" s="197">
        <v>1</v>
      </c>
      <c r="AG17" s="404"/>
      <c r="AH17" s="139">
        <v>56843</v>
      </c>
      <c r="AI17" s="171">
        <v>21.13</v>
      </c>
      <c r="AJ17" s="138">
        <v>36376</v>
      </c>
      <c r="AK17" s="171">
        <v>29.66</v>
      </c>
      <c r="AL17" s="138">
        <v>247107</v>
      </c>
      <c r="AM17" s="196">
        <v>94.02</v>
      </c>
      <c r="AN17" s="171">
        <v>29.4</v>
      </c>
      <c r="AO17" s="459">
        <v>13.4</v>
      </c>
      <c r="AP17" s="406"/>
      <c r="AQ17" s="139">
        <v>2893</v>
      </c>
      <c r="AR17" s="1051">
        <v>41.72</v>
      </c>
      <c r="AS17" s="1052">
        <v>3422</v>
      </c>
      <c r="AT17" s="1053">
        <v>49.34</v>
      </c>
      <c r="AU17" s="1023">
        <v>2446</v>
      </c>
      <c r="AV17" s="1054">
        <v>37.130000000000003</v>
      </c>
      <c r="AW17" s="1052">
        <v>448</v>
      </c>
      <c r="AX17" s="1053">
        <v>6.46</v>
      </c>
      <c r="AY17" s="1023">
        <v>11</v>
      </c>
      <c r="AZ17" s="174">
        <v>562</v>
      </c>
      <c r="BA17" s="174">
        <v>308</v>
      </c>
      <c r="BB17" s="174">
        <v>487</v>
      </c>
      <c r="BC17" s="176">
        <v>239</v>
      </c>
      <c r="BD17" s="139">
        <v>45</v>
      </c>
      <c r="BE17" s="174">
        <v>2447</v>
      </c>
      <c r="BF17" s="174">
        <v>1928</v>
      </c>
      <c r="BG17" s="174">
        <v>2424</v>
      </c>
      <c r="BH17" s="106">
        <v>1761</v>
      </c>
      <c r="BI17" s="104">
        <v>2</v>
      </c>
      <c r="BJ17" s="174">
        <v>170</v>
      </c>
      <c r="BK17" s="174">
        <v>89</v>
      </c>
      <c r="BL17" s="174">
        <v>41</v>
      </c>
      <c r="BM17" s="174">
        <v>76</v>
      </c>
      <c r="BN17" s="174">
        <v>81</v>
      </c>
      <c r="BO17" s="176">
        <v>26</v>
      </c>
      <c r="BP17" s="139">
        <v>13</v>
      </c>
      <c r="BQ17" s="174">
        <v>2013</v>
      </c>
      <c r="BR17" s="174">
        <v>458</v>
      </c>
      <c r="BS17" s="174">
        <v>101</v>
      </c>
      <c r="BT17" s="174">
        <v>1586</v>
      </c>
      <c r="BU17" s="174">
        <v>461</v>
      </c>
      <c r="BV17" s="176">
        <v>94</v>
      </c>
      <c r="BW17" s="139">
        <v>29</v>
      </c>
      <c r="BX17" s="462">
        <v>454</v>
      </c>
      <c r="BY17" s="174">
        <v>338</v>
      </c>
      <c r="BZ17" s="138">
        <v>23</v>
      </c>
      <c r="CA17" s="185">
        <v>1</v>
      </c>
      <c r="CB17" s="185">
        <v>16</v>
      </c>
      <c r="CC17" s="415"/>
      <c r="CD17" s="139">
        <v>25</v>
      </c>
      <c r="CE17" s="1023" t="s">
        <v>139</v>
      </c>
      <c r="CF17" s="1282">
        <v>3535</v>
      </c>
      <c r="CG17" s="1023" t="s">
        <v>139</v>
      </c>
      <c r="CH17" s="464">
        <v>1303.6300000000001</v>
      </c>
      <c r="CI17" s="138">
        <v>249</v>
      </c>
      <c r="CJ17" s="176">
        <v>171</v>
      </c>
      <c r="CK17" s="139">
        <v>712</v>
      </c>
      <c r="CL17" s="171">
        <v>254.2</v>
      </c>
      <c r="CM17" s="138">
        <v>229</v>
      </c>
      <c r="CN17" s="180">
        <v>82.1</v>
      </c>
      <c r="CO17" s="404"/>
      <c r="CP17" s="465">
        <v>323</v>
      </c>
      <c r="CQ17" s="465">
        <v>105</v>
      </c>
      <c r="CR17" s="465">
        <v>8596</v>
      </c>
      <c r="CS17" s="465">
        <v>2396</v>
      </c>
      <c r="CT17" s="465">
        <v>2290</v>
      </c>
    </row>
    <row r="18" spans="1:98" ht="15.75" customHeight="1" x14ac:dyDescent="0.2">
      <c r="A18" s="419" t="s">
        <v>157</v>
      </c>
      <c r="B18" s="186">
        <v>8259</v>
      </c>
      <c r="C18" s="192">
        <v>15.9</v>
      </c>
      <c r="D18" s="163">
        <v>6642</v>
      </c>
      <c r="E18" s="396"/>
      <c r="F18" s="193">
        <v>1</v>
      </c>
      <c r="G18" s="438">
        <v>110</v>
      </c>
      <c r="H18" s="438">
        <v>31</v>
      </c>
      <c r="I18" s="438">
        <v>2005</v>
      </c>
      <c r="J18" s="438">
        <v>10</v>
      </c>
      <c r="K18" s="438">
        <v>271</v>
      </c>
      <c r="L18" s="438" t="s">
        <v>143</v>
      </c>
      <c r="M18" s="438" t="s">
        <v>143</v>
      </c>
      <c r="N18" s="467">
        <v>15</v>
      </c>
      <c r="O18" s="202">
        <v>629</v>
      </c>
      <c r="P18" s="404">
        <v>1145</v>
      </c>
      <c r="Q18" s="438">
        <v>13</v>
      </c>
      <c r="R18" s="467">
        <v>575</v>
      </c>
      <c r="S18" s="438">
        <v>5</v>
      </c>
      <c r="T18" s="438">
        <v>10</v>
      </c>
      <c r="U18" s="467">
        <v>1038</v>
      </c>
      <c r="V18" s="438" t="s">
        <v>143</v>
      </c>
      <c r="W18" s="467" t="s">
        <v>143</v>
      </c>
      <c r="X18" s="438">
        <v>2</v>
      </c>
      <c r="Y18" s="467">
        <v>152</v>
      </c>
      <c r="Z18" s="202" t="s">
        <v>143</v>
      </c>
      <c r="AA18" s="402"/>
      <c r="AB18" s="193">
        <v>130969</v>
      </c>
      <c r="AC18" s="438">
        <v>21481</v>
      </c>
      <c r="AD18" s="438">
        <v>29769242470</v>
      </c>
      <c r="AE18" s="161">
        <v>96.9</v>
      </c>
      <c r="AF18" s="202">
        <v>25</v>
      </c>
      <c r="AG18" s="404"/>
      <c r="AH18" s="186">
        <v>105813</v>
      </c>
      <c r="AI18" s="162">
        <v>20.3</v>
      </c>
      <c r="AJ18" s="163">
        <v>67997</v>
      </c>
      <c r="AK18" s="162">
        <v>28.7</v>
      </c>
      <c r="AL18" s="163">
        <v>362327</v>
      </c>
      <c r="AM18" s="200">
        <v>87.7</v>
      </c>
      <c r="AN18" s="162">
        <v>29.7</v>
      </c>
      <c r="AO18" s="468">
        <v>21.3</v>
      </c>
      <c r="AP18" s="406"/>
      <c r="AQ18" s="186">
        <v>3257</v>
      </c>
      <c r="AR18" s="1055">
        <v>12.4</v>
      </c>
      <c r="AS18" s="1056">
        <v>6258</v>
      </c>
      <c r="AT18" s="1057">
        <v>23.9</v>
      </c>
      <c r="AU18" s="1058">
        <v>4764</v>
      </c>
      <c r="AV18" s="1059">
        <v>18.2</v>
      </c>
      <c r="AW18" s="1056">
        <v>1573</v>
      </c>
      <c r="AX18" s="1057">
        <v>6</v>
      </c>
      <c r="AY18" s="1058">
        <v>10</v>
      </c>
      <c r="AZ18" s="190">
        <v>852</v>
      </c>
      <c r="BA18" s="190">
        <v>528</v>
      </c>
      <c r="BB18" s="190">
        <v>913</v>
      </c>
      <c r="BC18" s="159">
        <v>455</v>
      </c>
      <c r="BD18" s="186">
        <v>72</v>
      </c>
      <c r="BE18" s="190">
        <v>3614</v>
      </c>
      <c r="BF18" s="190">
        <v>3059</v>
      </c>
      <c r="BG18" s="190">
        <v>4109</v>
      </c>
      <c r="BH18" s="190">
        <v>2971</v>
      </c>
      <c r="BI18" s="163" t="s">
        <v>143</v>
      </c>
      <c r="BJ18" s="190" t="s">
        <v>143</v>
      </c>
      <c r="BK18" s="190" t="s">
        <v>143</v>
      </c>
      <c r="BL18" s="190" t="s">
        <v>143</v>
      </c>
      <c r="BM18" s="190" t="s">
        <v>143</v>
      </c>
      <c r="BN18" s="190" t="s">
        <v>143</v>
      </c>
      <c r="BO18" s="159" t="s">
        <v>143</v>
      </c>
      <c r="BP18" s="186">
        <v>21</v>
      </c>
      <c r="BQ18" s="190">
        <v>4158</v>
      </c>
      <c r="BR18" s="190">
        <v>941</v>
      </c>
      <c r="BS18" s="190">
        <v>609</v>
      </c>
      <c r="BT18" s="190">
        <v>3054</v>
      </c>
      <c r="BU18" s="190">
        <v>1126</v>
      </c>
      <c r="BV18" s="159">
        <v>576</v>
      </c>
      <c r="BW18" s="186">
        <v>50</v>
      </c>
      <c r="BX18" s="415">
        <v>817</v>
      </c>
      <c r="BY18" s="190">
        <v>698</v>
      </c>
      <c r="BZ18" s="163" t="s">
        <v>143</v>
      </c>
      <c r="CA18" s="195">
        <v>3</v>
      </c>
      <c r="CB18" s="195">
        <v>12</v>
      </c>
      <c r="CC18" s="415"/>
      <c r="CD18" s="186">
        <v>31</v>
      </c>
      <c r="CE18" s="163" t="s">
        <v>143</v>
      </c>
      <c r="CF18" s="469">
        <v>6711</v>
      </c>
      <c r="CG18" s="163" t="s">
        <v>143</v>
      </c>
      <c r="CH18" s="442">
        <f>6711/521124*100000</f>
        <v>1287.7933083104981</v>
      </c>
      <c r="CI18" s="163">
        <v>432</v>
      </c>
      <c r="CJ18" s="159">
        <v>310</v>
      </c>
      <c r="CK18" s="186">
        <v>1056</v>
      </c>
      <c r="CL18" s="162">
        <v>203</v>
      </c>
      <c r="CM18" s="163">
        <v>415</v>
      </c>
      <c r="CN18" s="164">
        <v>79.8</v>
      </c>
      <c r="CO18" s="404"/>
      <c r="CP18" s="443">
        <v>377</v>
      </c>
      <c r="CQ18" s="443">
        <v>105</v>
      </c>
      <c r="CR18" s="443">
        <v>15024</v>
      </c>
      <c r="CS18" s="443">
        <v>4394</v>
      </c>
      <c r="CT18" s="443">
        <v>4272</v>
      </c>
    </row>
    <row r="19" spans="1:98" ht="15.75" customHeight="1" x14ac:dyDescent="0.2">
      <c r="A19" s="395" t="s">
        <v>158</v>
      </c>
      <c r="B19" s="139">
        <v>4149</v>
      </c>
      <c r="C19" s="179">
        <v>12.5</v>
      </c>
      <c r="D19" s="138">
        <v>3425</v>
      </c>
      <c r="E19" s="396"/>
      <c r="F19" s="183">
        <v>2</v>
      </c>
      <c r="G19" s="456">
        <v>130</v>
      </c>
      <c r="H19" s="456">
        <v>26</v>
      </c>
      <c r="I19" s="456">
        <v>1855</v>
      </c>
      <c r="J19" s="456">
        <v>7</v>
      </c>
      <c r="K19" s="456">
        <v>130</v>
      </c>
      <c r="L19" s="456">
        <v>1</v>
      </c>
      <c r="M19" s="456">
        <v>80</v>
      </c>
      <c r="N19" s="457">
        <v>92</v>
      </c>
      <c r="O19" s="197">
        <v>2848</v>
      </c>
      <c r="P19" s="458">
        <v>1077</v>
      </c>
      <c r="Q19" s="456">
        <v>9</v>
      </c>
      <c r="R19" s="457">
        <v>330</v>
      </c>
      <c r="S19" s="456">
        <v>5</v>
      </c>
      <c r="T19" s="456">
        <v>12</v>
      </c>
      <c r="U19" s="457">
        <v>1044</v>
      </c>
      <c r="V19" s="456">
        <v>1</v>
      </c>
      <c r="W19" s="457">
        <v>26</v>
      </c>
      <c r="X19" s="456">
        <v>1</v>
      </c>
      <c r="Y19" s="457">
        <v>5</v>
      </c>
      <c r="Z19" s="197">
        <v>0</v>
      </c>
      <c r="AA19" s="402"/>
      <c r="AB19" s="183">
        <v>97515</v>
      </c>
      <c r="AC19" s="456">
        <v>17195</v>
      </c>
      <c r="AD19" s="456">
        <v>28156973204</v>
      </c>
      <c r="AE19" s="178">
        <v>98.2</v>
      </c>
      <c r="AF19" s="197">
        <v>12</v>
      </c>
      <c r="AG19" s="404"/>
      <c r="AH19" s="139">
        <v>73614</v>
      </c>
      <c r="AI19" s="171">
        <v>21.95</v>
      </c>
      <c r="AJ19" s="138">
        <v>47086</v>
      </c>
      <c r="AK19" s="171">
        <v>31.32</v>
      </c>
      <c r="AL19" s="138">
        <v>351606</v>
      </c>
      <c r="AM19" s="196">
        <v>94.74</v>
      </c>
      <c r="AN19" s="171">
        <v>43.8</v>
      </c>
      <c r="AO19" s="459">
        <v>26</v>
      </c>
      <c r="AP19" s="406"/>
      <c r="AQ19" s="139">
        <v>2188</v>
      </c>
      <c r="AR19" s="1060">
        <v>28.02</v>
      </c>
      <c r="AS19" s="1052">
        <v>4942</v>
      </c>
      <c r="AT19" s="1053">
        <v>63.29</v>
      </c>
      <c r="AU19" s="1023">
        <v>2911</v>
      </c>
      <c r="AV19" s="1054">
        <v>41.21</v>
      </c>
      <c r="AW19" s="1052">
        <v>581</v>
      </c>
      <c r="AX19" s="1053">
        <v>7.44</v>
      </c>
      <c r="AY19" s="1023">
        <v>16</v>
      </c>
      <c r="AZ19" s="174">
        <v>1158</v>
      </c>
      <c r="BA19" s="174">
        <v>562</v>
      </c>
      <c r="BB19" s="174">
        <v>993</v>
      </c>
      <c r="BC19" s="176">
        <v>452</v>
      </c>
      <c r="BD19" s="139">
        <v>23</v>
      </c>
      <c r="BE19" s="174">
        <v>1069</v>
      </c>
      <c r="BF19" s="174">
        <v>956</v>
      </c>
      <c r="BG19" s="174">
        <v>1031</v>
      </c>
      <c r="BH19" s="174">
        <v>858</v>
      </c>
      <c r="BI19" s="138">
        <v>0</v>
      </c>
      <c r="BJ19" s="174">
        <v>0</v>
      </c>
      <c r="BK19" s="174">
        <v>0</v>
      </c>
      <c r="BL19" s="174">
        <v>0</v>
      </c>
      <c r="BM19" s="174">
        <v>0</v>
      </c>
      <c r="BN19" s="174">
        <v>0</v>
      </c>
      <c r="BO19" s="176">
        <v>0</v>
      </c>
      <c r="BP19" s="139">
        <f>36+10+2</f>
        <v>48</v>
      </c>
      <c r="BQ19" s="174">
        <f>2188-19</f>
        <v>2169</v>
      </c>
      <c r="BR19" s="174">
        <v>2804</v>
      </c>
      <c r="BS19" s="174">
        <v>1883</v>
      </c>
      <c r="BT19" s="174">
        <v>2188</v>
      </c>
      <c r="BU19" s="174">
        <v>2918</v>
      </c>
      <c r="BV19" s="176">
        <v>1601</v>
      </c>
      <c r="BW19" s="139">
        <v>0</v>
      </c>
      <c r="BX19" s="462">
        <v>0</v>
      </c>
      <c r="BY19" s="174">
        <v>0</v>
      </c>
      <c r="BZ19" s="138">
        <v>0</v>
      </c>
      <c r="CA19" s="185">
        <v>5</v>
      </c>
      <c r="CB19" s="185">
        <v>15</v>
      </c>
      <c r="CC19" s="415"/>
      <c r="CD19" s="139">
        <v>20</v>
      </c>
      <c r="CE19" s="138">
        <v>0</v>
      </c>
      <c r="CF19" s="463">
        <v>4365</v>
      </c>
      <c r="CG19" s="138">
        <v>0</v>
      </c>
      <c r="CH19" s="464">
        <f>ROUND(4365/335360*100000,1)</f>
        <v>1301.5999999999999</v>
      </c>
      <c r="CI19" s="138">
        <v>342</v>
      </c>
      <c r="CJ19" s="176">
        <v>199</v>
      </c>
      <c r="CK19" s="139">
        <v>1578</v>
      </c>
      <c r="CL19" s="171">
        <v>466.9</v>
      </c>
      <c r="CM19" s="138">
        <v>311</v>
      </c>
      <c r="CN19" s="180">
        <v>92</v>
      </c>
      <c r="CO19" s="404"/>
      <c r="CP19" s="465">
        <v>233</v>
      </c>
      <c r="CQ19" s="465">
        <v>69</v>
      </c>
      <c r="CR19" s="465">
        <v>11821</v>
      </c>
      <c r="CS19" s="465">
        <v>2621</v>
      </c>
      <c r="CT19" s="465">
        <v>2728</v>
      </c>
    </row>
    <row r="20" spans="1:98" ht="15.75" customHeight="1" x14ac:dyDescent="0.2">
      <c r="A20" s="419" t="s">
        <v>159</v>
      </c>
      <c r="B20" s="186">
        <v>3470</v>
      </c>
      <c r="C20" s="192">
        <v>9.4</v>
      </c>
      <c r="D20" s="163">
        <v>2907</v>
      </c>
      <c r="E20" s="396"/>
      <c r="F20" s="193">
        <v>4</v>
      </c>
      <c r="G20" s="438">
        <v>210</v>
      </c>
      <c r="H20" s="438">
        <v>29</v>
      </c>
      <c r="I20" s="438">
        <v>1626</v>
      </c>
      <c r="J20" s="438">
        <v>28</v>
      </c>
      <c r="K20" s="438">
        <v>733</v>
      </c>
      <c r="L20" s="438">
        <v>1</v>
      </c>
      <c r="M20" s="438">
        <v>80</v>
      </c>
      <c r="N20" s="467">
        <v>71</v>
      </c>
      <c r="O20" s="202">
        <v>2380</v>
      </c>
      <c r="P20" s="404">
        <v>1199</v>
      </c>
      <c r="Q20" s="438">
        <v>11</v>
      </c>
      <c r="R20" s="467">
        <v>348</v>
      </c>
      <c r="S20" s="438">
        <v>12</v>
      </c>
      <c r="T20" s="438">
        <v>21</v>
      </c>
      <c r="U20" s="467">
        <v>1438</v>
      </c>
      <c r="V20" s="438" t="s">
        <v>143</v>
      </c>
      <c r="W20" s="467" t="s">
        <v>143</v>
      </c>
      <c r="X20" s="438">
        <v>1</v>
      </c>
      <c r="Y20" s="467">
        <v>14</v>
      </c>
      <c r="Z20" s="202" t="s">
        <v>143</v>
      </c>
      <c r="AA20" s="402"/>
      <c r="AB20" s="193">
        <v>103096</v>
      </c>
      <c r="AC20" s="438">
        <v>17516</v>
      </c>
      <c r="AD20" s="438">
        <v>31328208866</v>
      </c>
      <c r="AE20" s="161">
        <v>98.04</v>
      </c>
      <c r="AF20" s="202">
        <v>30</v>
      </c>
      <c r="AG20" s="404"/>
      <c r="AH20" s="186">
        <v>78419</v>
      </c>
      <c r="AI20" s="162">
        <v>21.07</v>
      </c>
      <c r="AJ20" s="163">
        <v>49565</v>
      </c>
      <c r="AK20" s="162">
        <v>29.79</v>
      </c>
      <c r="AL20" s="163">
        <v>357352.77</v>
      </c>
      <c r="AM20" s="200">
        <v>95.15</v>
      </c>
      <c r="AN20" s="162">
        <v>37</v>
      </c>
      <c r="AO20" s="468">
        <v>13.4</v>
      </c>
      <c r="AP20" s="406"/>
      <c r="AQ20" s="186">
        <v>1751</v>
      </c>
      <c r="AR20" s="439">
        <v>19.3</v>
      </c>
      <c r="AS20" s="190">
        <v>5210</v>
      </c>
      <c r="AT20" s="440">
        <v>57.5</v>
      </c>
      <c r="AU20" s="163">
        <v>3239</v>
      </c>
      <c r="AV20" s="441">
        <v>39.299999999999997</v>
      </c>
      <c r="AW20" s="190">
        <v>765</v>
      </c>
      <c r="AX20" s="440">
        <v>8.4</v>
      </c>
      <c r="AY20" s="163">
        <v>21</v>
      </c>
      <c r="AZ20" s="190">
        <v>1551</v>
      </c>
      <c r="BA20" s="190">
        <v>818</v>
      </c>
      <c r="BB20" s="190">
        <v>1301</v>
      </c>
      <c r="BC20" s="159">
        <v>688</v>
      </c>
      <c r="BD20" s="186">
        <v>35</v>
      </c>
      <c r="BE20" s="190">
        <v>1572</v>
      </c>
      <c r="BF20" s="190">
        <v>1158</v>
      </c>
      <c r="BG20" s="190">
        <v>1569</v>
      </c>
      <c r="BH20" s="190">
        <v>993</v>
      </c>
      <c r="BI20" s="163" t="s">
        <v>143</v>
      </c>
      <c r="BJ20" s="190" t="s">
        <v>143</v>
      </c>
      <c r="BK20" s="190" t="s">
        <v>143</v>
      </c>
      <c r="BL20" s="190" t="s">
        <v>143</v>
      </c>
      <c r="BM20" s="190" t="s">
        <v>143</v>
      </c>
      <c r="BN20" s="190" t="s">
        <v>143</v>
      </c>
      <c r="BO20" s="159" t="s">
        <v>143</v>
      </c>
      <c r="BP20" s="186">
        <v>45</v>
      </c>
      <c r="BQ20" s="190">
        <v>2471</v>
      </c>
      <c r="BR20" s="190">
        <v>2338</v>
      </c>
      <c r="BS20" s="190">
        <v>1811</v>
      </c>
      <c r="BT20" s="190">
        <v>1751</v>
      </c>
      <c r="BU20" s="190">
        <v>2340</v>
      </c>
      <c r="BV20" s="159">
        <v>1558</v>
      </c>
      <c r="BW20" s="186" t="s">
        <v>143</v>
      </c>
      <c r="BX20" s="415" t="s">
        <v>143</v>
      </c>
      <c r="BY20" s="190" t="s">
        <v>143</v>
      </c>
      <c r="BZ20" s="163">
        <v>0</v>
      </c>
      <c r="CA20" s="195">
        <v>5</v>
      </c>
      <c r="CB20" s="195">
        <v>15</v>
      </c>
      <c r="CC20" s="415"/>
      <c r="CD20" s="186">
        <v>27</v>
      </c>
      <c r="CE20" s="163" t="s">
        <v>143</v>
      </c>
      <c r="CF20" s="469">
        <v>4351</v>
      </c>
      <c r="CG20" s="163" t="s">
        <v>143</v>
      </c>
      <c r="CH20" s="442">
        <v>1169.1600000000001</v>
      </c>
      <c r="CI20" s="163">
        <v>351</v>
      </c>
      <c r="CJ20" s="159">
        <v>203</v>
      </c>
      <c r="CK20" s="186">
        <v>828</v>
      </c>
      <c r="CL20" s="162">
        <v>222.492724649</v>
      </c>
      <c r="CM20" s="163">
        <v>303</v>
      </c>
      <c r="CN20" s="164">
        <v>81.419439092600001</v>
      </c>
      <c r="CO20" s="404"/>
      <c r="CP20" s="443">
        <v>284</v>
      </c>
      <c r="CQ20" s="443">
        <v>103</v>
      </c>
      <c r="CR20" s="443">
        <v>11950</v>
      </c>
      <c r="CS20" s="443">
        <v>2622</v>
      </c>
      <c r="CT20" s="443">
        <v>2279</v>
      </c>
    </row>
    <row r="21" spans="1:98" ht="15.75" customHeight="1" x14ac:dyDescent="0.2">
      <c r="A21" s="395" t="s">
        <v>163</v>
      </c>
      <c r="B21" s="139">
        <v>4377</v>
      </c>
      <c r="C21" s="1010">
        <v>12.4</v>
      </c>
      <c r="D21" s="471">
        <v>3416</v>
      </c>
      <c r="E21" s="396"/>
      <c r="F21" s="183">
        <v>1</v>
      </c>
      <c r="G21" s="456">
        <v>100</v>
      </c>
      <c r="H21" s="456">
        <v>15</v>
      </c>
      <c r="I21" s="456">
        <v>1278</v>
      </c>
      <c r="J21" s="456">
        <v>2</v>
      </c>
      <c r="K21" s="456">
        <v>49</v>
      </c>
      <c r="L21" s="456">
        <v>1</v>
      </c>
      <c r="M21" s="456">
        <v>50</v>
      </c>
      <c r="N21" s="457">
        <v>14</v>
      </c>
      <c r="O21" s="197">
        <v>674</v>
      </c>
      <c r="P21" s="458">
        <v>707</v>
      </c>
      <c r="Q21" s="456">
        <v>2</v>
      </c>
      <c r="R21" s="457">
        <v>102</v>
      </c>
      <c r="S21" s="456">
        <v>1</v>
      </c>
      <c r="T21" s="456">
        <v>8</v>
      </c>
      <c r="U21" s="457">
        <v>700</v>
      </c>
      <c r="V21" s="456">
        <v>0</v>
      </c>
      <c r="W21" s="457">
        <v>0</v>
      </c>
      <c r="X21" s="456">
        <v>1</v>
      </c>
      <c r="Y21" s="457">
        <v>61</v>
      </c>
      <c r="Z21" s="197">
        <v>3</v>
      </c>
      <c r="AA21" s="402"/>
      <c r="AB21" s="183">
        <v>94387</v>
      </c>
      <c r="AC21" s="456">
        <v>14849</v>
      </c>
      <c r="AD21" s="456">
        <v>20004319572</v>
      </c>
      <c r="AE21" s="178">
        <v>99.1</v>
      </c>
      <c r="AF21" s="197">
        <v>9</v>
      </c>
      <c r="AG21" s="404"/>
      <c r="AH21" s="139">
        <v>76721</v>
      </c>
      <c r="AI21" s="171">
        <v>21.7</v>
      </c>
      <c r="AJ21" s="138">
        <v>50155</v>
      </c>
      <c r="AK21" s="171">
        <v>31.2</v>
      </c>
      <c r="AL21" s="138">
        <v>351442</v>
      </c>
      <c r="AM21" s="196">
        <v>90.08</v>
      </c>
      <c r="AN21" s="171">
        <v>41.9</v>
      </c>
      <c r="AO21" s="459">
        <v>13.1</v>
      </c>
      <c r="AP21" s="406"/>
      <c r="AQ21" s="139">
        <v>464</v>
      </c>
      <c r="AR21" s="407">
        <v>5.5</v>
      </c>
      <c r="AS21" s="174">
        <v>3065</v>
      </c>
      <c r="AT21" s="460">
        <v>36.299999999999997</v>
      </c>
      <c r="AU21" s="138">
        <v>3021</v>
      </c>
      <c r="AV21" s="461">
        <v>40.1</v>
      </c>
      <c r="AW21" s="174">
        <v>1478</v>
      </c>
      <c r="AX21" s="460">
        <v>17.5</v>
      </c>
      <c r="AY21" s="138">
        <v>20</v>
      </c>
      <c r="AZ21" s="174">
        <v>1191</v>
      </c>
      <c r="BA21" s="174">
        <v>639</v>
      </c>
      <c r="BB21" s="174">
        <v>1014</v>
      </c>
      <c r="BC21" s="176">
        <v>592</v>
      </c>
      <c r="BD21" s="139">
        <v>36</v>
      </c>
      <c r="BE21" s="174">
        <v>1696</v>
      </c>
      <c r="BF21" s="174">
        <v>1260</v>
      </c>
      <c r="BG21" s="174">
        <v>1589</v>
      </c>
      <c r="BH21" s="174">
        <v>1231</v>
      </c>
      <c r="BI21" s="138" t="s">
        <v>143</v>
      </c>
      <c r="BJ21" s="174" t="s">
        <v>143</v>
      </c>
      <c r="BK21" s="174" t="s">
        <v>143</v>
      </c>
      <c r="BL21" s="174" t="s">
        <v>143</v>
      </c>
      <c r="BM21" s="174" t="s">
        <v>143</v>
      </c>
      <c r="BN21" s="174" t="s">
        <v>143</v>
      </c>
      <c r="BO21" s="176" t="s">
        <v>143</v>
      </c>
      <c r="BP21" s="139">
        <v>7</v>
      </c>
      <c r="BQ21" s="174">
        <v>581</v>
      </c>
      <c r="BR21" s="174">
        <v>277</v>
      </c>
      <c r="BS21" s="174">
        <v>166</v>
      </c>
      <c r="BT21" s="174">
        <v>462</v>
      </c>
      <c r="BU21" s="174">
        <v>237</v>
      </c>
      <c r="BV21" s="176">
        <v>143</v>
      </c>
      <c r="BW21" s="139">
        <v>29</v>
      </c>
      <c r="BX21" s="462">
        <v>485</v>
      </c>
      <c r="BY21" s="174">
        <v>391</v>
      </c>
      <c r="BZ21" s="138">
        <v>2</v>
      </c>
      <c r="CA21" s="185">
        <v>3</v>
      </c>
      <c r="CB21" s="185">
        <v>24</v>
      </c>
      <c r="CC21" s="415"/>
      <c r="CD21" s="139">
        <v>26</v>
      </c>
      <c r="CE21" s="138" t="s">
        <v>143</v>
      </c>
      <c r="CF21" s="463">
        <v>4518</v>
      </c>
      <c r="CG21" s="138" t="s">
        <v>143</v>
      </c>
      <c r="CH21" s="464">
        <v>1278.2</v>
      </c>
      <c r="CI21" s="138">
        <v>211</v>
      </c>
      <c r="CJ21" s="176">
        <v>185</v>
      </c>
      <c r="CK21" s="139">
        <v>899</v>
      </c>
      <c r="CL21" s="171">
        <v>254.3</v>
      </c>
      <c r="CM21" s="138">
        <v>280</v>
      </c>
      <c r="CN21" s="180">
        <v>79.2</v>
      </c>
      <c r="CO21" s="404"/>
      <c r="CP21" s="465">
        <v>235</v>
      </c>
      <c r="CQ21" s="465">
        <v>68</v>
      </c>
      <c r="CR21" s="465">
        <v>9919</v>
      </c>
      <c r="CS21" s="465">
        <v>2654</v>
      </c>
      <c r="CT21" s="465">
        <v>2977</v>
      </c>
    </row>
    <row r="22" spans="1:98" ht="15.75" customHeight="1" x14ac:dyDescent="0.2">
      <c r="A22" s="419" t="s">
        <v>166</v>
      </c>
      <c r="B22" s="186">
        <v>11515</v>
      </c>
      <c r="C22" s="192">
        <v>18.899999999999999</v>
      </c>
      <c r="D22" s="163">
        <v>8971</v>
      </c>
      <c r="E22" s="396"/>
      <c r="F22" s="193">
        <v>1</v>
      </c>
      <c r="G22" s="438">
        <v>50</v>
      </c>
      <c r="H22" s="438">
        <v>29</v>
      </c>
      <c r="I22" s="438">
        <v>2954</v>
      </c>
      <c r="J22" s="438">
        <v>4</v>
      </c>
      <c r="K22" s="438">
        <v>99</v>
      </c>
      <c r="L22" s="438">
        <v>2</v>
      </c>
      <c r="M22" s="438">
        <v>80</v>
      </c>
      <c r="N22" s="467">
        <v>51</v>
      </c>
      <c r="O22" s="202">
        <v>3297</v>
      </c>
      <c r="P22" s="404">
        <v>1101</v>
      </c>
      <c r="Q22" s="438">
        <v>2</v>
      </c>
      <c r="R22" s="467">
        <v>80</v>
      </c>
      <c r="S22" s="438">
        <v>9</v>
      </c>
      <c r="T22" s="438">
        <v>7</v>
      </c>
      <c r="U22" s="467">
        <v>909</v>
      </c>
      <c r="V22" s="438">
        <v>2</v>
      </c>
      <c r="W22" s="467">
        <v>118</v>
      </c>
      <c r="X22" s="438">
        <v>1</v>
      </c>
      <c r="Y22" s="467">
        <v>36</v>
      </c>
      <c r="Z22" s="202">
        <v>0</v>
      </c>
      <c r="AA22" s="402"/>
      <c r="AB22" s="1036">
        <v>138304</v>
      </c>
      <c r="AC22" s="1032">
        <v>22918</v>
      </c>
      <c r="AD22" s="1032">
        <v>35029053855</v>
      </c>
      <c r="AE22" s="161">
        <v>95.4</v>
      </c>
      <c r="AF22" s="202">
        <v>20</v>
      </c>
      <c r="AG22" s="404"/>
      <c r="AH22" s="186">
        <v>133414</v>
      </c>
      <c r="AI22" s="162">
        <v>21.9</v>
      </c>
      <c r="AJ22" s="163">
        <v>88233</v>
      </c>
      <c r="AK22" s="162">
        <v>30.2</v>
      </c>
      <c r="AL22" s="163">
        <v>314191</v>
      </c>
      <c r="AM22" s="200">
        <v>88.5</v>
      </c>
      <c r="AN22" s="162">
        <v>35.200000000000003</v>
      </c>
      <c r="AO22" s="468">
        <v>17.7</v>
      </c>
      <c r="AP22" s="406"/>
      <c r="AQ22" s="186">
        <v>375</v>
      </c>
      <c r="AR22" s="439">
        <v>2.5</v>
      </c>
      <c r="AS22" s="190">
        <v>7601</v>
      </c>
      <c r="AT22" s="440">
        <v>49.7</v>
      </c>
      <c r="AU22" s="163">
        <v>6270</v>
      </c>
      <c r="AV22" s="441">
        <v>43.6</v>
      </c>
      <c r="AW22" s="190">
        <v>2236</v>
      </c>
      <c r="AX22" s="440">
        <v>14.6</v>
      </c>
      <c r="AY22" s="163">
        <v>41</v>
      </c>
      <c r="AZ22" s="190">
        <v>3067</v>
      </c>
      <c r="BA22" s="190">
        <v>1369</v>
      </c>
      <c r="BB22" s="190">
        <v>2769</v>
      </c>
      <c r="BC22" s="159">
        <v>1404</v>
      </c>
      <c r="BD22" s="186">
        <v>81</v>
      </c>
      <c r="BE22" s="190">
        <v>3352</v>
      </c>
      <c r="BF22" s="190">
        <v>2215</v>
      </c>
      <c r="BG22" s="190">
        <v>2896</v>
      </c>
      <c r="BH22" s="190">
        <v>2324</v>
      </c>
      <c r="BI22" s="163" t="s">
        <v>143</v>
      </c>
      <c r="BJ22" s="190" t="s">
        <v>143</v>
      </c>
      <c r="BK22" s="190" t="s">
        <v>143</v>
      </c>
      <c r="BL22" s="190" t="s">
        <v>143</v>
      </c>
      <c r="BM22" s="190">
        <v>0</v>
      </c>
      <c r="BN22" s="190">
        <v>0</v>
      </c>
      <c r="BO22" s="159">
        <v>0</v>
      </c>
      <c r="BP22" s="186">
        <v>1</v>
      </c>
      <c r="BQ22" s="190">
        <v>375</v>
      </c>
      <c r="BR22" s="190">
        <v>75</v>
      </c>
      <c r="BS22" s="190">
        <v>55</v>
      </c>
      <c r="BT22" s="190">
        <v>205</v>
      </c>
      <c r="BU22" s="190">
        <v>74</v>
      </c>
      <c r="BV22" s="159">
        <v>53</v>
      </c>
      <c r="BW22" s="186">
        <v>61</v>
      </c>
      <c r="BX22" s="415">
        <v>1076</v>
      </c>
      <c r="BY22" s="190">
        <v>950</v>
      </c>
      <c r="BZ22" s="163">
        <v>38</v>
      </c>
      <c r="CA22" s="195">
        <v>3</v>
      </c>
      <c r="CB22" s="195">
        <v>58</v>
      </c>
      <c r="CC22" s="415"/>
      <c r="CD22" s="186">
        <v>20</v>
      </c>
      <c r="CE22" s="163">
        <v>1</v>
      </c>
      <c r="CF22" s="469">
        <v>3778</v>
      </c>
      <c r="CG22" s="163">
        <v>539</v>
      </c>
      <c r="CH22" s="442">
        <v>620.9</v>
      </c>
      <c r="CI22" s="163">
        <v>327</v>
      </c>
      <c r="CJ22" s="159">
        <v>282</v>
      </c>
      <c r="CK22" s="186">
        <v>897</v>
      </c>
      <c r="CL22" s="162">
        <v>147.438208</v>
      </c>
      <c r="CM22" s="163">
        <v>378</v>
      </c>
      <c r="CN22" s="164">
        <v>62.13</v>
      </c>
      <c r="CO22" s="404"/>
      <c r="CP22" s="443">
        <v>374</v>
      </c>
      <c r="CQ22" s="443">
        <v>108</v>
      </c>
      <c r="CR22" s="443">
        <v>17702</v>
      </c>
      <c r="CS22" s="443">
        <v>3931</v>
      </c>
      <c r="CT22" s="443">
        <v>4612</v>
      </c>
    </row>
    <row r="23" spans="1:98" ht="15.75" customHeight="1" x14ac:dyDescent="0.2">
      <c r="A23" s="395" t="s">
        <v>167</v>
      </c>
      <c r="B23" s="139">
        <v>4350</v>
      </c>
      <c r="C23" s="179">
        <v>12.61</v>
      </c>
      <c r="D23" s="138">
        <v>3333</v>
      </c>
      <c r="E23" s="396"/>
      <c r="F23" s="183">
        <v>1</v>
      </c>
      <c r="G23" s="456">
        <v>49</v>
      </c>
      <c r="H23" s="456">
        <v>12</v>
      </c>
      <c r="I23" s="456">
        <v>1069</v>
      </c>
      <c r="J23" s="456">
        <v>5</v>
      </c>
      <c r="K23" s="456">
        <v>118</v>
      </c>
      <c r="L23" s="456" t="s">
        <v>143</v>
      </c>
      <c r="M23" s="456" t="s">
        <v>143</v>
      </c>
      <c r="N23" s="457">
        <v>24</v>
      </c>
      <c r="O23" s="197">
        <v>1434</v>
      </c>
      <c r="P23" s="458">
        <v>616</v>
      </c>
      <c r="Q23" s="456">
        <v>2</v>
      </c>
      <c r="R23" s="457">
        <v>105</v>
      </c>
      <c r="S23" s="456">
        <v>4</v>
      </c>
      <c r="T23" s="456">
        <v>6</v>
      </c>
      <c r="U23" s="457">
        <v>699</v>
      </c>
      <c r="V23" s="456" t="s">
        <v>143</v>
      </c>
      <c r="W23" s="457" t="s">
        <v>143</v>
      </c>
      <c r="X23" s="456" t="s">
        <v>143</v>
      </c>
      <c r="Y23" s="457" t="s">
        <v>143</v>
      </c>
      <c r="Z23" s="197" t="s">
        <v>143</v>
      </c>
      <c r="AA23" s="402"/>
      <c r="AB23" s="1037">
        <v>86391</v>
      </c>
      <c r="AC23" s="1028">
        <v>13029</v>
      </c>
      <c r="AD23" s="1028">
        <v>18424794616</v>
      </c>
      <c r="AE23" s="178">
        <v>96.81</v>
      </c>
      <c r="AF23" s="197">
        <v>11</v>
      </c>
      <c r="AG23" s="404"/>
      <c r="AH23" s="139">
        <v>70855</v>
      </c>
      <c r="AI23" s="171">
        <v>20.56</v>
      </c>
      <c r="AJ23" s="138">
        <v>46408</v>
      </c>
      <c r="AK23" s="171">
        <v>29.66</v>
      </c>
      <c r="AL23" s="138">
        <v>346280</v>
      </c>
      <c r="AM23" s="196">
        <v>90.42</v>
      </c>
      <c r="AN23" s="171">
        <v>41.9</v>
      </c>
      <c r="AO23" s="459">
        <v>12.7</v>
      </c>
      <c r="AP23" s="406"/>
      <c r="AQ23" s="139">
        <v>934</v>
      </c>
      <c r="AR23" s="407">
        <v>10.5</v>
      </c>
      <c r="AS23" s="174">
        <v>3167</v>
      </c>
      <c r="AT23" s="460">
        <v>35.700000000000003</v>
      </c>
      <c r="AU23" s="138">
        <v>2898</v>
      </c>
      <c r="AV23" s="461">
        <v>36.1</v>
      </c>
      <c r="AW23" s="174">
        <v>1108</v>
      </c>
      <c r="AX23" s="460">
        <v>12</v>
      </c>
      <c r="AY23" s="138">
        <v>18</v>
      </c>
      <c r="AZ23" s="174">
        <v>1453</v>
      </c>
      <c r="BA23" s="174">
        <v>567</v>
      </c>
      <c r="BB23" s="174">
        <v>1285</v>
      </c>
      <c r="BC23" s="176">
        <v>604</v>
      </c>
      <c r="BD23" s="139">
        <v>24</v>
      </c>
      <c r="BE23" s="174">
        <v>1239</v>
      </c>
      <c r="BF23" s="174">
        <v>815</v>
      </c>
      <c r="BG23" s="174">
        <v>1314</v>
      </c>
      <c r="BH23" s="174">
        <v>872</v>
      </c>
      <c r="BI23" s="138" t="s">
        <v>143</v>
      </c>
      <c r="BJ23" s="174" t="s">
        <v>143</v>
      </c>
      <c r="BK23" s="174" t="s">
        <v>143</v>
      </c>
      <c r="BL23" s="174" t="s">
        <v>143</v>
      </c>
      <c r="BM23" s="174" t="s">
        <v>143</v>
      </c>
      <c r="BN23" s="174" t="s">
        <v>143</v>
      </c>
      <c r="BO23" s="176" t="s">
        <v>143</v>
      </c>
      <c r="BP23" s="139">
        <v>8</v>
      </c>
      <c r="BQ23" s="174">
        <v>1035</v>
      </c>
      <c r="BR23" s="174">
        <v>483</v>
      </c>
      <c r="BS23" s="174">
        <v>249</v>
      </c>
      <c r="BT23" s="174">
        <v>902</v>
      </c>
      <c r="BU23" s="174">
        <v>533</v>
      </c>
      <c r="BV23" s="176">
        <v>252</v>
      </c>
      <c r="BW23" s="139">
        <v>57</v>
      </c>
      <c r="BX23" s="462">
        <v>922</v>
      </c>
      <c r="BY23" s="174">
        <v>860</v>
      </c>
      <c r="BZ23" s="138">
        <v>19</v>
      </c>
      <c r="CA23" s="185">
        <v>2</v>
      </c>
      <c r="CB23" s="185">
        <v>19</v>
      </c>
      <c r="CC23" s="415"/>
      <c r="CD23" s="139">
        <v>15</v>
      </c>
      <c r="CE23" s="138">
        <v>1</v>
      </c>
      <c r="CF23" s="463">
        <v>3113</v>
      </c>
      <c r="CG23" s="138">
        <v>481</v>
      </c>
      <c r="CH23" s="464">
        <v>903.2</v>
      </c>
      <c r="CI23" s="138">
        <v>190</v>
      </c>
      <c r="CJ23" s="176">
        <v>174</v>
      </c>
      <c r="CK23" s="139">
        <v>797</v>
      </c>
      <c r="CL23" s="171">
        <v>231.2</v>
      </c>
      <c r="CM23" s="138">
        <v>268</v>
      </c>
      <c r="CN23" s="180">
        <v>77.8</v>
      </c>
      <c r="CO23" s="404"/>
      <c r="CP23" s="465">
        <v>168</v>
      </c>
      <c r="CQ23" s="465">
        <v>91</v>
      </c>
      <c r="CR23" s="465">
        <v>9305</v>
      </c>
      <c r="CS23" s="465">
        <v>2293</v>
      </c>
      <c r="CT23" s="465">
        <v>3019</v>
      </c>
    </row>
    <row r="24" spans="1:98" ht="15.75" customHeight="1" x14ac:dyDescent="0.2">
      <c r="A24" s="419" t="s">
        <v>168</v>
      </c>
      <c r="B24" s="186">
        <v>9139</v>
      </c>
      <c r="C24" s="192">
        <v>14.25</v>
      </c>
      <c r="D24" s="163">
        <v>7200</v>
      </c>
      <c r="E24" s="396"/>
      <c r="F24" s="193">
        <v>1</v>
      </c>
      <c r="G24" s="438">
        <v>52</v>
      </c>
      <c r="H24" s="438">
        <v>30</v>
      </c>
      <c r="I24" s="438">
        <v>2186</v>
      </c>
      <c r="J24" s="438">
        <v>3</v>
      </c>
      <c r="K24" s="438">
        <v>78</v>
      </c>
      <c r="L24" s="438">
        <v>1</v>
      </c>
      <c r="M24" s="438">
        <v>100</v>
      </c>
      <c r="N24" s="467">
        <v>53</v>
      </c>
      <c r="O24" s="202">
        <v>2585</v>
      </c>
      <c r="P24" s="404">
        <v>1321</v>
      </c>
      <c r="Q24" s="438">
        <v>7</v>
      </c>
      <c r="R24" s="467">
        <v>308</v>
      </c>
      <c r="S24" s="438">
        <v>5</v>
      </c>
      <c r="T24" s="438">
        <v>16</v>
      </c>
      <c r="U24" s="467">
        <v>1515</v>
      </c>
      <c r="V24" s="438" t="s">
        <v>143</v>
      </c>
      <c r="W24" s="467" t="s">
        <v>143</v>
      </c>
      <c r="X24" s="438" t="s">
        <v>143</v>
      </c>
      <c r="Y24" s="467" t="s">
        <v>143</v>
      </c>
      <c r="Z24" s="202">
        <v>35</v>
      </c>
      <c r="AA24" s="402"/>
      <c r="AB24" s="1036">
        <v>153792</v>
      </c>
      <c r="AC24" s="1032">
        <v>28501</v>
      </c>
      <c r="AD24" s="1032">
        <v>38618396361</v>
      </c>
      <c r="AE24" s="161">
        <v>98.14</v>
      </c>
      <c r="AF24" s="202">
        <v>13</v>
      </c>
      <c r="AG24" s="404"/>
      <c r="AH24" s="186">
        <v>120568</v>
      </c>
      <c r="AI24" s="162">
        <v>18.72</v>
      </c>
      <c r="AJ24" s="163">
        <v>82304</v>
      </c>
      <c r="AK24" s="162">
        <v>26.79</v>
      </c>
      <c r="AL24" s="163">
        <v>343213</v>
      </c>
      <c r="AM24" s="200">
        <v>89.95</v>
      </c>
      <c r="AN24" s="162">
        <v>48</v>
      </c>
      <c r="AO24" s="468">
        <v>33.4</v>
      </c>
      <c r="AP24" s="406"/>
      <c r="AQ24" s="186">
        <v>1018</v>
      </c>
      <c r="AR24" s="439">
        <v>6.26</v>
      </c>
      <c r="AS24" s="190">
        <v>7532</v>
      </c>
      <c r="AT24" s="440">
        <v>46.24</v>
      </c>
      <c r="AU24" s="163">
        <v>6111</v>
      </c>
      <c r="AV24" s="441">
        <v>41.5</v>
      </c>
      <c r="AW24" s="190">
        <v>1222</v>
      </c>
      <c r="AX24" s="440">
        <v>7.5</v>
      </c>
      <c r="AY24" s="163">
        <v>27</v>
      </c>
      <c r="AZ24" s="190">
        <v>2695</v>
      </c>
      <c r="BA24" s="190">
        <v>1850</v>
      </c>
      <c r="BB24" s="190">
        <v>2513</v>
      </c>
      <c r="BC24" s="159">
        <v>1601</v>
      </c>
      <c r="BD24" s="186">
        <v>91</v>
      </c>
      <c r="BE24" s="190">
        <v>4927</v>
      </c>
      <c r="BF24" s="190">
        <v>3501</v>
      </c>
      <c r="BG24" s="190">
        <v>4375</v>
      </c>
      <c r="BH24" s="190">
        <v>3233</v>
      </c>
      <c r="BI24" s="163" t="s">
        <v>143</v>
      </c>
      <c r="BJ24" s="190" t="s">
        <v>143</v>
      </c>
      <c r="BK24" s="190" t="s">
        <v>143</v>
      </c>
      <c r="BL24" s="190" t="s">
        <v>143</v>
      </c>
      <c r="BM24" s="190" t="s">
        <v>143</v>
      </c>
      <c r="BN24" s="190" t="s">
        <v>143</v>
      </c>
      <c r="BO24" s="159" t="s">
        <v>143</v>
      </c>
      <c r="BP24" s="186">
        <v>8</v>
      </c>
      <c r="BQ24" s="190">
        <v>576</v>
      </c>
      <c r="BR24" s="190">
        <v>461</v>
      </c>
      <c r="BS24" s="190">
        <v>243</v>
      </c>
      <c r="BT24" s="190">
        <v>449</v>
      </c>
      <c r="BU24" s="190">
        <v>408</v>
      </c>
      <c r="BV24" s="159">
        <v>225</v>
      </c>
      <c r="BW24" s="186">
        <v>31</v>
      </c>
      <c r="BX24" s="415">
        <v>483</v>
      </c>
      <c r="BY24" s="190">
        <v>399</v>
      </c>
      <c r="BZ24" s="163">
        <v>197</v>
      </c>
      <c r="CA24" s="195">
        <v>21</v>
      </c>
      <c r="CB24" s="195">
        <v>23</v>
      </c>
      <c r="CC24" s="415"/>
      <c r="CD24" s="186">
        <v>22</v>
      </c>
      <c r="CE24" s="163">
        <v>2</v>
      </c>
      <c r="CF24" s="431">
        <v>4589</v>
      </c>
      <c r="CG24" s="163">
        <v>649</v>
      </c>
      <c r="CH24" s="442">
        <v>712.6</v>
      </c>
      <c r="CI24" s="163">
        <v>362</v>
      </c>
      <c r="CJ24" s="159">
        <v>325</v>
      </c>
      <c r="CK24" s="186">
        <v>980</v>
      </c>
      <c r="CL24" s="162">
        <v>154.1</v>
      </c>
      <c r="CM24" s="163">
        <v>458</v>
      </c>
      <c r="CN24" s="164">
        <v>72</v>
      </c>
      <c r="CO24" s="404"/>
      <c r="CP24" s="443">
        <v>404</v>
      </c>
      <c r="CQ24" s="443">
        <v>94</v>
      </c>
      <c r="CR24" s="443">
        <v>15968</v>
      </c>
      <c r="CS24" s="443">
        <v>3571</v>
      </c>
      <c r="CT24" s="443">
        <v>5377</v>
      </c>
    </row>
    <row r="25" spans="1:98" ht="15.75" customHeight="1" x14ac:dyDescent="0.2">
      <c r="A25" s="395" t="s">
        <v>171</v>
      </c>
      <c r="B25" s="103">
        <v>4750</v>
      </c>
      <c r="C25" s="141">
        <v>11.04</v>
      </c>
      <c r="D25" s="106">
        <v>3720</v>
      </c>
      <c r="E25" s="396"/>
      <c r="F25" s="145">
        <v>1</v>
      </c>
      <c r="G25" s="397">
        <v>70</v>
      </c>
      <c r="H25" s="397">
        <v>18</v>
      </c>
      <c r="I25" s="397">
        <v>1346</v>
      </c>
      <c r="J25" s="397">
        <v>6</v>
      </c>
      <c r="K25" s="397">
        <v>163</v>
      </c>
      <c r="L25" s="397" t="s">
        <v>143</v>
      </c>
      <c r="M25" s="397" t="s">
        <v>143</v>
      </c>
      <c r="N25" s="401">
        <v>29</v>
      </c>
      <c r="O25" s="140">
        <v>1780</v>
      </c>
      <c r="P25" s="434">
        <v>969</v>
      </c>
      <c r="Q25" s="397">
        <v>4</v>
      </c>
      <c r="R25" s="401">
        <v>200</v>
      </c>
      <c r="S25" s="397">
        <v>4</v>
      </c>
      <c r="T25" s="397">
        <v>9</v>
      </c>
      <c r="U25" s="401">
        <v>920</v>
      </c>
      <c r="V25" s="397">
        <v>1</v>
      </c>
      <c r="W25" s="401">
        <v>19</v>
      </c>
      <c r="X25" s="397" t="s">
        <v>143</v>
      </c>
      <c r="Y25" s="401" t="s">
        <v>143</v>
      </c>
      <c r="Z25" s="472">
        <v>1</v>
      </c>
      <c r="AA25" s="473"/>
      <c r="AB25" s="1038">
        <v>109672</v>
      </c>
      <c r="AC25" s="1027">
        <v>17720</v>
      </c>
      <c r="AD25" s="1027">
        <v>24550005384</v>
      </c>
      <c r="AE25" s="403">
        <v>97.8</v>
      </c>
      <c r="AF25" s="140">
        <v>11</v>
      </c>
      <c r="AG25" s="404"/>
      <c r="AH25" s="103">
        <v>87051</v>
      </c>
      <c r="AI25" s="105">
        <v>20.399999999999999</v>
      </c>
      <c r="AJ25" s="106">
        <v>57114</v>
      </c>
      <c r="AK25" s="105">
        <v>29.3</v>
      </c>
      <c r="AL25" s="106">
        <v>341087</v>
      </c>
      <c r="AM25" s="109">
        <v>89.5</v>
      </c>
      <c r="AN25" s="105">
        <v>46.8</v>
      </c>
      <c r="AO25" s="435">
        <v>26.7</v>
      </c>
      <c r="AP25" s="406"/>
      <c r="AQ25" s="103">
        <v>1380</v>
      </c>
      <c r="AR25" s="407">
        <v>12.45</v>
      </c>
      <c r="AS25" s="408">
        <v>4930</v>
      </c>
      <c r="AT25" s="409">
        <v>44.47</v>
      </c>
      <c r="AU25" s="106">
        <v>4045</v>
      </c>
      <c r="AV25" s="411">
        <v>39.51</v>
      </c>
      <c r="AW25" s="408">
        <v>935</v>
      </c>
      <c r="AX25" s="409">
        <v>14</v>
      </c>
      <c r="AY25" s="106">
        <v>22</v>
      </c>
      <c r="AZ25" s="408">
        <v>1831</v>
      </c>
      <c r="BA25" s="408" t="s">
        <v>337</v>
      </c>
      <c r="BB25" s="408">
        <v>1802</v>
      </c>
      <c r="BC25" s="412">
        <v>1185</v>
      </c>
      <c r="BD25" s="103">
        <v>43</v>
      </c>
      <c r="BE25" s="408">
        <v>1851</v>
      </c>
      <c r="BF25" s="408">
        <v>1578</v>
      </c>
      <c r="BG25" s="408">
        <v>1890</v>
      </c>
      <c r="BH25" s="408">
        <v>1782</v>
      </c>
      <c r="BI25" s="474" t="s">
        <v>143</v>
      </c>
      <c r="BJ25" s="474" t="s">
        <v>143</v>
      </c>
      <c r="BK25" s="474" t="s">
        <v>143</v>
      </c>
      <c r="BL25" s="475" t="s">
        <v>143</v>
      </c>
      <c r="BM25" s="474" t="s">
        <v>143</v>
      </c>
      <c r="BN25" s="474" t="s">
        <v>338</v>
      </c>
      <c r="BO25" s="476" t="s">
        <v>143</v>
      </c>
      <c r="BP25" s="103">
        <v>14</v>
      </c>
      <c r="BQ25" s="408">
        <v>1398</v>
      </c>
      <c r="BR25" s="408">
        <v>1086</v>
      </c>
      <c r="BS25" s="408">
        <v>1007</v>
      </c>
      <c r="BT25" s="408">
        <v>1364</v>
      </c>
      <c r="BU25" s="408">
        <v>1045</v>
      </c>
      <c r="BV25" s="412">
        <v>542</v>
      </c>
      <c r="BW25" s="103">
        <v>12</v>
      </c>
      <c r="BX25" s="414" t="s">
        <v>339</v>
      </c>
      <c r="BY25" s="408">
        <v>202</v>
      </c>
      <c r="BZ25" s="106">
        <v>0</v>
      </c>
      <c r="CA25" s="120">
        <v>4</v>
      </c>
      <c r="CB25" s="120">
        <v>20</v>
      </c>
      <c r="CC25" s="415"/>
      <c r="CD25" s="103">
        <v>18</v>
      </c>
      <c r="CE25" s="106">
        <v>1</v>
      </c>
      <c r="CF25" s="416">
        <v>5211</v>
      </c>
      <c r="CG25" s="106">
        <v>200</v>
      </c>
      <c r="CH25" s="436">
        <v>1222.9000000000001</v>
      </c>
      <c r="CI25" s="106">
        <v>260</v>
      </c>
      <c r="CJ25" s="412">
        <v>217</v>
      </c>
      <c r="CK25" s="103">
        <v>1042</v>
      </c>
      <c r="CL25" s="105">
        <v>244.5</v>
      </c>
      <c r="CM25" s="106">
        <v>311</v>
      </c>
      <c r="CN25" s="142">
        <v>73</v>
      </c>
      <c r="CO25" s="404"/>
      <c r="CP25" s="437">
        <v>358</v>
      </c>
      <c r="CQ25" s="437">
        <v>120</v>
      </c>
      <c r="CR25" s="437">
        <v>11915</v>
      </c>
      <c r="CS25" s="437">
        <v>2754</v>
      </c>
      <c r="CT25" s="437">
        <v>3442</v>
      </c>
    </row>
    <row r="26" spans="1:98" ht="15.75" customHeight="1" x14ac:dyDescent="0.2">
      <c r="A26" s="419" t="s">
        <v>172</v>
      </c>
      <c r="B26" s="186">
        <v>9421</v>
      </c>
      <c r="C26" s="192">
        <v>16.329999999999998</v>
      </c>
      <c r="D26" s="163">
        <v>7443</v>
      </c>
      <c r="E26" s="396"/>
      <c r="F26" s="135">
        <v>5</v>
      </c>
      <c r="G26" s="420">
        <v>580</v>
      </c>
      <c r="H26" s="420">
        <v>25</v>
      </c>
      <c r="I26" s="420">
        <v>2483</v>
      </c>
      <c r="J26" s="420">
        <v>3</v>
      </c>
      <c r="K26" s="420">
        <v>87</v>
      </c>
      <c r="L26" s="420" t="s">
        <v>143</v>
      </c>
      <c r="M26" s="420" t="s">
        <v>143</v>
      </c>
      <c r="N26" s="421">
        <v>69</v>
      </c>
      <c r="O26" s="129">
        <v>3824</v>
      </c>
      <c r="P26" s="422">
        <v>1337</v>
      </c>
      <c r="Q26" s="420" t="s">
        <v>143</v>
      </c>
      <c r="R26" s="421" t="s">
        <v>143</v>
      </c>
      <c r="S26" s="420">
        <v>2</v>
      </c>
      <c r="T26" s="420">
        <v>8</v>
      </c>
      <c r="U26" s="421">
        <v>927</v>
      </c>
      <c r="V26" s="420">
        <v>2</v>
      </c>
      <c r="W26" s="421">
        <v>437</v>
      </c>
      <c r="X26" s="420">
        <v>4</v>
      </c>
      <c r="Y26" s="421">
        <v>219</v>
      </c>
      <c r="Z26" s="129">
        <v>0</v>
      </c>
      <c r="AA26" s="402"/>
      <c r="AB26" s="1039">
        <v>150804</v>
      </c>
      <c r="AC26" s="1040">
        <v>28728</v>
      </c>
      <c r="AD26" s="1040">
        <v>37421494964</v>
      </c>
      <c r="AE26" s="423">
        <v>96.9</v>
      </c>
      <c r="AF26" s="129">
        <v>19</v>
      </c>
      <c r="AG26" s="404"/>
      <c r="AH26" s="122">
        <v>125899</v>
      </c>
      <c r="AI26" s="124">
        <v>22.417034945212261</v>
      </c>
      <c r="AJ26" s="125">
        <v>83665</v>
      </c>
      <c r="AK26" s="124">
        <v>30.942685853979668</v>
      </c>
      <c r="AL26" s="125">
        <v>348605</v>
      </c>
      <c r="AM26" s="127">
        <v>92.35</v>
      </c>
      <c r="AN26" s="124">
        <v>45.1</v>
      </c>
      <c r="AO26" s="424">
        <v>27.7</v>
      </c>
      <c r="AP26" s="406"/>
      <c r="AQ26" s="122">
        <v>946</v>
      </c>
      <c r="AR26" s="425">
        <v>7.7331807399999999</v>
      </c>
      <c r="AS26" s="426">
        <v>6482</v>
      </c>
      <c r="AT26" s="427">
        <v>52.987819831000003</v>
      </c>
      <c r="AU26" s="125">
        <v>4717</v>
      </c>
      <c r="AV26" s="428">
        <v>46.109481915000003</v>
      </c>
      <c r="AW26" s="426">
        <v>1305</v>
      </c>
      <c r="AX26" s="427">
        <v>10.6678656094</v>
      </c>
      <c r="AY26" s="125">
        <v>15</v>
      </c>
      <c r="AZ26" s="426">
        <v>828</v>
      </c>
      <c r="BA26" s="426">
        <v>353</v>
      </c>
      <c r="BB26" s="426">
        <v>822</v>
      </c>
      <c r="BC26" s="429">
        <v>381</v>
      </c>
      <c r="BD26" s="122">
        <v>84</v>
      </c>
      <c r="BE26" s="426">
        <v>5220</v>
      </c>
      <c r="BF26" s="426">
        <v>3843</v>
      </c>
      <c r="BG26" s="426">
        <v>5138</v>
      </c>
      <c r="BH26" s="426">
        <v>3859</v>
      </c>
      <c r="BI26" s="125" t="s">
        <v>143</v>
      </c>
      <c r="BJ26" s="426" t="s">
        <v>143</v>
      </c>
      <c r="BK26" s="426" t="s">
        <v>143</v>
      </c>
      <c r="BL26" s="426" t="s">
        <v>143</v>
      </c>
      <c r="BM26" s="426">
        <v>0</v>
      </c>
      <c r="BN26" s="426">
        <v>3</v>
      </c>
      <c r="BO26" s="429">
        <v>1</v>
      </c>
      <c r="BP26" s="122">
        <v>7</v>
      </c>
      <c r="BQ26" s="426">
        <v>511</v>
      </c>
      <c r="BR26" s="426">
        <v>672</v>
      </c>
      <c r="BS26" s="426">
        <v>234</v>
      </c>
      <c r="BT26" s="426">
        <v>471</v>
      </c>
      <c r="BU26" s="426">
        <v>519</v>
      </c>
      <c r="BV26" s="429">
        <v>228</v>
      </c>
      <c r="BW26" s="122">
        <v>29</v>
      </c>
      <c r="BX26" s="430">
        <v>280</v>
      </c>
      <c r="BY26" s="426">
        <v>248</v>
      </c>
      <c r="BZ26" s="125">
        <v>25</v>
      </c>
      <c r="CA26" s="148">
        <v>12</v>
      </c>
      <c r="CB26" s="148">
        <v>48</v>
      </c>
      <c r="CC26" s="415"/>
      <c r="CD26" s="477">
        <v>38</v>
      </c>
      <c r="CE26" s="478" t="s">
        <v>143</v>
      </c>
      <c r="CF26" s="431">
        <v>8155</v>
      </c>
      <c r="CG26" s="479" t="s">
        <v>143</v>
      </c>
      <c r="CH26" s="480">
        <v>1452.04</v>
      </c>
      <c r="CI26" s="478">
        <v>386</v>
      </c>
      <c r="CJ26" s="481">
        <v>288</v>
      </c>
      <c r="CK26" s="482">
        <v>1066</v>
      </c>
      <c r="CL26" s="483">
        <v>189.8</v>
      </c>
      <c r="CM26" s="478">
        <v>418</v>
      </c>
      <c r="CN26" s="484">
        <v>74.42</v>
      </c>
      <c r="CO26" s="404"/>
      <c r="CP26" s="433">
        <v>601</v>
      </c>
      <c r="CQ26" s="433">
        <v>76</v>
      </c>
      <c r="CR26" s="433">
        <v>15665</v>
      </c>
      <c r="CS26" s="433">
        <v>4623</v>
      </c>
      <c r="CT26" s="433">
        <v>6061</v>
      </c>
    </row>
    <row r="27" spans="1:98" ht="15.75" customHeight="1" x14ac:dyDescent="0.2">
      <c r="A27" s="395" t="s">
        <v>173</v>
      </c>
      <c r="B27" s="103">
        <v>5159</v>
      </c>
      <c r="C27" s="141">
        <v>13.2</v>
      </c>
      <c r="D27" s="106">
        <v>4037</v>
      </c>
      <c r="E27" s="396"/>
      <c r="F27" s="145">
        <v>2</v>
      </c>
      <c r="G27" s="397">
        <v>122</v>
      </c>
      <c r="H27" s="397">
        <v>21</v>
      </c>
      <c r="I27" s="397">
        <v>2200</v>
      </c>
      <c r="J27" s="397" t="s">
        <v>143</v>
      </c>
      <c r="K27" s="397" t="s">
        <v>143</v>
      </c>
      <c r="L27" s="397" t="s">
        <v>143</v>
      </c>
      <c r="M27" s="397" t="s">
        <v>143</v>
      </c>
      <c r="N27" s="401">
        <v>52</v>
      </c>
      <c r="O27" s="140">
        <v>2691</v>
      </c>
      <c r="P27" s="434">
        <v>918</v>
      </c>
      <c r="Q27" s="397">
        <v>3</v>
      </c>
      <c r="R27" s="401">
        <v>170</v>
      </c>
      <c r="S27" s="397">
        <v>6</v>
      </c>
      <c r="T27" s="397">
        <v>10</v>
      </c>
      <c r="U27" s="401">
        <v>992</v>
      </c>
      <c r="V27" s="397" t="s">
        <v>143</v>
      </c>
      <c r="W27" s="401" t="s">
        <v>143</v>
      </c>
      <c r="X27" s="397" t="s">
        <v>143</v>
      </c>
      <c r="Y27" s="401" t="s">
        <v>143</v>
      </c>
      <c r="Z27" s="140">
        <v>1</v>
      </c>
      <c r="AA27" s="402"/>
      <c r="AB27" s="1041">
        <v>126510</v>
      </c>
      <c r="AC27" s="1042">
        <v>23132</v>
      </c>
      <c r="AD27" s="1045">
        <v>33027590417</v>
      </c>
      <c r="AE27" s="487">
        <v>97.674999999999997</v>
      </c>
      <c r="AF27" s="488">
        <v>12</v>
      </c>
      <c r="AG27" s="404"/>
      <c r="AH27" s="103">
        <v>89843</v>
      </c>
      <c r="AI27" s="105">
        <v>22.5</v>
      </c>
      <c r="AJ27" s="106">
        <v>59278</v>
      </c>
      <c r="AK27" s="105">
        <v>31.1</v>
      </c>
      <c r="AL27" s="106">
        <v>401351</v>
      </c>
      <c r="AM27" s="109">
        <v>90.2</v>
      </c>
      <c r="AN27" s="144">
        <v>31.5</v>
      </c>
      <c r="AO27" s="489">
        <v>18</v>
      </c>
      <c r="AP27" s="490"/>
      <c r="AQ27" s="103">
        <v>2980</v>
      </c>
      <c r="AR27" s="407">
        <v>36.5</v>
      </c>
      <c r="AS27" s="408">
        <v>2753</v>
      </c>
      <c r="AT27" s="409">
        <v>33.700000000000003</v>
      </c>
      <c r="AU27" s="106">
        <v>2129</v>
      </c>
      <c r="AV27" s="411">
        <v>30.7</v>
      </c>
      <c r="AW27" s="408">
        <v>703</v>
      </c>
      <c r="AX27" s="409">
        <v>8.6</v>
      </c>
      <c r="AY27" s="106">
        <v>11</v>
      </c>
      <c r="AZ27" s="408">
        <v>645</v>
      </c>
      <c r="BA27" s="408">
        <v>355</v>
      </c>
      <c r="BB27" s="408">
        <v>555</v>
      </c>
      <c r="BC27" s="412">
        <v>328</v>
      </c>
      <c r="BD27" s="103">
        <v>26</v>
      </c>
      <c r="BE27" s="408">
        <v>1178</v>
      </c>
      <c r="BF27" s="408">
        <v>906</v>
      </c>
      <c r="BG27" s="408">
        <v>1759</v>
      </c>
      <c r="BH27" s="408">
        <v>1252</v>
      </c>
      <c r="BI27" s="106" t="s">
        <v>143</v>
      </c>
      <c r="BJ27" s="106" t="s">
        <v>143</v>
      </c>
      <c r="BK27" s="106" t="s">
        <v>143</v>
      </c>
      <c r="BL27" s="408" t="s">
        <v>143</v>
      </c>
      <c r="BM27" s="106" t="s">
        <v>143</v>
      </c>
      <c r="BN27" s="106" t="s">
        <v>143</v>
      </c>
      <c r="BO27" s="120" t="s">
        <v>143</v>
      </c>
      <c r="BP27" s="103">
        <v>22</v>
      </c>
      <c r="BQ27" s="408">
        <v>1657</v>
      </c>
      <c r="BR27" s="408">
        <v>957</v>
      </c>
      <c r="BS27" s="408">
        <v>506</v>
      </c>
      <c r="BT27" s="408">
        <v>1471</v>
      </c>
      <c r="BU27" s="408">
        <v>897</v>
      </c>
      <c r="BV27" s="412">
        <v>509</v>
      </c>
      <c r="BW27" s="103">
        <v>15</v>
      </c>
      <c r="BX27" s="414">
        <v>100</v>
      </c>
      <c r="BY27" s="408">
        <v>96</v>
      </c>
      <c r="BZ27" s="106">
        <v>45</v>
      </c>
      <c r="CA27" s="120" t="s">
        <v>143</v>
      </c>
      <c r="CB27" s="120">
        <v>6</v>
      </c>
      <c r="CC27" s="415"/>
      <c r="CD27" s="103">
        <v>12</v>
      </c>
      <c r="CE27" s="106">
        <v>2</v>
      </c>
      <c r="CF27" s="416">
        <v>3470</v>
      </c>
      <c r="CG27" s="106">
        <v>899</v>
      </c>
      <c r="CH27" s="436">
        <v>870.7</v>
      </c>
      <c r="CI27" s="106">
        <v>323</v>
      </c>
      <c r="CJ27" s="412">
        <v>230</v>
      </c>
      <c r="CK27" s="103">
        <v>877</v>
      </c>
      <c r="CL27" s="105">
        <v>220.1</v>
      </c>
      <c r="CM27" s="106">
        <v>565</v>
      </c>
      <c r="CN27" s="142">
        <v>141.80000000000001</v>
      </c>
      <c r="CO27" s="404"/>
      <c r="CP27" s="437">
        <v>290</v>
      </c>
      <c r="CQ27" s="437">
        <v>66</v>
      </c>
      <c r="CR27" s="437">
        <v>13358</v>
      </c>
      <c r="CS27" s="437">
        <v>3355</v>
      </c>
      <c r="CT27" s="437">
        <v>4077</v>
      </c>
    </row>
    <row r="28" spans="1:98" ht="15.75" customHeight="1" x14ac:dyDescent="0.2">
      <c r="A28" s="419" t="s">
        <v>174</v>
      </c>
      <c r="B28" s="186">
        <v>2128</v>
      </c>
      <c r="C28" s="192">
        <v>5.13</v>
      </c>
      <c r="D28" s="163">
        <v>1851</v>
      </c>
      <c r="E28" s="396"/>
      <c r="F28" s="135">
        <v>2</v>
      </c>
      <c r="G28" s="420">
        <v>200</v>
      </c>
      <c r="H28" s="420">
        <v>26</v>
      </c>
      <c r="I28" s="420">
        <v>1746</v>
      </c>
      <c r="J28" s="420">
        <v>15</v>
      </c>
      <c r="K28" s="420">
        <v>365</v>
      </c>
      <c r="L28" s="420">
        <v>1</v>
      </c>
      <c r="M28" s="420">
        <v>100</v>
      </c>
      <c r="N28" s="421">
        <v>37</v>
      </c>
      <c r="O28" s="129">
        <v>1103</v>
      </c>
      <c r="P28" s="422">
        <v>1480</v>
      </c>
      <c r="Q28" s="420">
        <v>8</v>
      </c>
      <c r="R28" s="421">
        <v>521</v>
      </c>
      <c r="S28" s="420">
        <v>6</v>
      </c>
      <c r="T28" s="420">
        <v>17</v>
      </c>
      <c r="U28" s="421">
        <v>1683</v>
      </c>
      <c r="V28" s="420">
        <v>7</v>
      </c>
      <c r="W28" s="421">
        <v>599</v>
      </c>
      <c r="X28" s="420">
        <v>6</v>
      </c>
      <c r="Y28" s="421">
        <v>288</v>
      </c>
      <c r="Z28" s="129">
        <v>2</v>
      </c>
      <c r="AA28" s="402"/>
      <c r="AB28" s="1039">
        <v>122637</v>
      </c>
      <c r="AC28" s="1040">
        <v>24031</v>
      </c>
      <c r="AD28" s="1040">
        <v>36273473771</v>
      </c>
      <c r="AE28" s="423">
        <v>98.3</v>
      </c>
      <c r="AF28" s="129">
        <v>32</v>
      </c>
      <c r="AG28" s="404"/>
      <c r="AH28" s="122">
        <v>71113</v>
      </c>
      <c r="AI28" s="124">
        <v>17.149754000000001</v>
      </c>
      <c r="AJ28" s="125">
        <v>48364</v>
      </c>
      <c r="AK28" s="124">
        <v>26.81</v>
      </c>
      <c r="AL28" s="125">
        <v>393712</v>
      </c>
      <c r="AM28" s="127">
        <v>94.1</v>
      </c>
      <c r="AN28" s="124">
        <v>31.9</v>
      </c>
      <c r="AO28" s="424">
        <v>16.899999999999999</v>
      </c>
      <c r="AP28" s="406"/>
      <c r="AQ28" s="122">
        <v>2314</v>
      </c>
      <c r="AR28" s="425">
        <v>24</v>
      </c>
      <c r="AS28" s="190">
        <v>7215</v>
      </c>
      <c r="AT28" s="440">
        <v>74.900000000000006</v>
      </c>
      <c r="AU28" s="125">
        <v>4682</v>
      </c>
      <c r="AV28" s="428">
        <v>52.7</v>
      </c>
      <c r="AW28" s="426">
        <v>413</v>
      </c>
      <c r="AX28" s="427">
        <v>4.3</v>
      </c>
      <c r="AY28" s="125">
        <v>39</v>
      </c>
      <c r="AZ28" s="426">
        <v>2096</v>
      </c>
      <c r="BA28" s="426">
        <v>1324</v>
      </c>
      <c r="BB28" s="426">
        <v>1695</v>
      </c>
      <c r="BC28" s="429">
        <v>1033</v>
      </c>
      <c r="BD28" s="122">
        <v>2</v>
      </c>
      <c r="BE28" s="426">
        <v>274</v>
      </c>
      <c r="BF28" s="426">
        <v>146</v>
      </c>
      <c r="BG28" s="426">
        <v>265</v>
      </c>
      <c r="BH28" s="426">
        <v>145</v>
      </c>
      <c r="BI28" s="125">
        <v>1</v>
      </c>
      <c r="BJ28" s="426">
        <v>150</v>
      </c>
      <c r="BK28" s="426">
        <v>60</v>
      </c>
      <c r="BL28" s="426">
        <v>40</v>
      </c>
      <c r="BM28" s="426">
        <v>65</v>
      </c>
      <c r="BN28" s="426">
        <v>63</v>
      </c>
      <c r="BO28" s="429">
        <v>40</v>
      </c>
      <c r="BP28" s="122">
        <v>65</v>
      </c>
      <c r="BQ28" s="426">
        <v>2064</v>
      </c>
      <c r="BR28" s="426">
        <v>5350</v>
      </c>
      <c r="BS28" s="426">
        <v>3439</v>
      </c>
      <c r="BT28" s="426">
        <v>1584</v>
      </c>
      <c r="BU28" s="426">
        <v>4952</v>
      </c>
      <c r="BV28" s="429">
        <v>2926</v>
      </c>
      <c r="BW28" s="122">
        <v>8</v>
      </c>
      <c r="BX28" s="430">
        <v>106</v>
      </c>
      <c r="BY28" s="426">
        <v>65</v>
      </c>
      <c r="BZ28" s="125">
        <v>0</v>
      </c>
      <c r="CA28" s="148">
        <v>13</v>
      </c>
      <c r="CB28" s="148">
        <v>14</v>
      </c>
      <c r="CC28" s="415"/>
      <c r="CD28" s="122">
        <v>46</v>
      </c>
      <c r="CE28" s="125">
        <v>2</v>
      </c>
      <c r="CF28" s="431">
        <v>7299</v>
      </c>
      <c r="CG28" s="125">
        <v>645</v>
      </c>
      <c r="CH28" s="432">
        <v>1760.2415478742773</v>
      </c>
      <c r="CI28" s="125">
        <v>349</v>
      </c>
      <c r="CJ28" s="429">
        <v>194</v>
      </c>
      <c r="CK28" s="122">
        <v>1485</v>
      </c>
      <c r="CL28" s="124">
        <v>358.12559235419945</v>
      </c>
      <c r="CM28" s="125">
        <v>281</v>
      </c>
      <c r="CN28" s="132">
        <v>67.766526229986567</v>
      </c>
      <c r="CO28" s="404"/>
      <c r="CP28" s="433">
        <v>245</v>
      </c>
      <c r="CQ28" s="433">
        <v>75</v>
      </c>
      <c r="CR28" s="433">
        <v>18875</v>
      </c>
      <c r="CS28" s="433">
        <v>3093</v>
      </c>
      <c r="CT28" s="433">
        <v>3200</v>
      </c>
    </row>
    <row r="29" spans="1:98" ht="15.75" customHeight="1" x14ac:dyDescent="0.2">
      <c r="A29" s="395" t="s">
        <v>175</v>
      </c>
      <c r="B29" s="103">
        <v>4086</v>
      </c>
      <c r="C29" s="141">
        <v>8.84</v>
      </c>
      <c r="D29" s="106">
        <v>3540</v>
      </c>
      <c r="E29" s="396"/>
      <c r="F29" s="145">
        <v>2</v>
      </c>
      <c r="G29" s="397">
        <v>240</v>
      </c>
      <c r="H29" s="397">
        <v>20</v>
      </c>
      <c r="I29" s="397">
        <v>1852</v>
      </c>
      <c r="J29" s="397">
        <v>22</v>
      </c>
      <c r="K29" s="397">
        <v>636</v>
      </c>
      <c r="L29" s="397">
        <v>0</v>
      </c>
      <c r="M29" s="397">
        <v>0</v>
      </c>
      <c r="N29" s="401">
        <v>73</v>
      </c>
      <c r="O29" s="140">
        <v>3168</v>
      </c>
      <c r="P29" s="434">
        <v>1476</v>
      </c>
      <c r="Q29" s="397">
        <v>8</v>
      </c>
      <c r="R29" s="401">
        <v>747</v>
      </c>
      <c r="S29" s="397">
        <v>5</v>
      </c>
      <c r="T29" s="397">
        <v>12</v>
      </c>
      <c r="U29" s="401">
        <v>1429</v>
      </c>
      <c r="V29" s="397">
        <v>3</v>
      </c>
      <c r="W29" s="401">
        <v>160</v>
      </c>
      <c r="X29" s="397">
        <v>2</v>
      </c>
      <c r="Y29" s="401">
        <v>96</v>
      </c>
      <c r="Z29" s="140">
        <v>16</v>
      </c>
      <c r="AA29" s="402"/>
      <c r="AB29" s="1038">
        <v>119861</v>
      </c>
      <c r="AC29" s="1027">
        <v>22910</v>
      </c>
      <c r="AD29" s="1027">
        <v>34971141222</v>
      </c>
      <c r="AE29" s="403">
        <v>97.58</v>
      </c>
      <c r="AF29" s="140"/>
      <c r="AG29" s="404"/>
      <c r="AH29" s="103">
        <v>84602</v>
      </c>
      <c r="AI29" s="105">
        <f>AH29/462188*100</f>
        <v>18.304672557487429</v>
      </c>
      <c r="AJ29" s="106">
        <v>56348</v>
      </c>
      <c r="AK29" s="105">
        <f>AJ29/205807*100</f>
        <v>27.379049303473639</v>
      </c>
      <c r="AL29" s="106">
        <f>36337997576/84602</f>
        <v>429517.00404245761</v>
      </c>
      <c r="AM29" s="109">
        <v>92.58</v>
      </c>
      <c r="AN29" s="105">
        <v>40.6</v>
      </c>
      <c r="AO29" s="435">
        <v>32.799999999999997</v>
      </c>
      <c r="AP29" s="406"/>
      <c r="AQ29" s="103">
        <v>1292</v>
      </c>
      <c r="AR29" s="407">
        <v>11.4</v>
      </c>
      <c r="AS29" s="408">
        <v>7430</v>
      </c>
      <c r="AT29" s="409">
        <v>65.7</v>
      </c>
      <c r="AU29" s="106">
        <v>4947</v>
      </c>
      <c r="AV29" s="411">
        <v>47.3</v>
      </c>
      <c r="AW29" s="408">
        <v>1126</v>
      </c>
      <c r="AX29" s="409">
        <v>10</v>
      </c>
      <c r="AY29" s="106">
        <v>13</v>
      </c>
      <c r="AZ29" s="408">
        <v>735</v>
      </c>
      <c r="BA29" s="408">
        <v>488</v>
      </c>
      <c r="BB29" s="408">
        <v>638</v>
      </c>
      <c r="BC29" s="412">
        <v>384</v>
      </c>
      <c r="BD29" s="103">
        <v>30</v>
      </c>
      <c r="BE29" s="408">
        <v>1580</v>
      </c>
      <c r="BF29" s="408">
        <v>1292</v>
      </c>
      <c r="BG29" s="408">
        <v>1514</v>
      </c>
      <c r="BH29" s="408">
        <v>1101</v>
      </c>
      <c r="BI29" s="397">
        <v>0</v>
      </c>
      <c r="BJ29" s="397">
        <v>0</v>
      </c>
      <c r="BK29" s="397">
        <v>0</v>
      </c>
      <c r="BL29" s="401">
        <v>0</v>
      </c>
      <c r="BM29" s="397">
        <v>0</v>
      </c>
      <c r="BN29" s="397">
        <v>0</v>
      </c>
      <c r="BO29" s="140">
        <v>0</v>
      </c>
      <c r="BP29" s="103">
        <v>65</v>
      </c>
      <c r="BQ29" s="408">
        <v>2026</v>
      </c>
      <c r="BR29" s="408">
        <v>5242</v>
      </c>
      <c r="BS29" s="408">
        <v>3853</v>
      </c>
      <c r="BT29" s="408">
        <v>1292</v>
      </c>
      <c r="BU29" s="408">
        <v>5278</v>
      </c>
      <c r="BV29" s="412">
        <v>3462</v>
      </c>
      <c r="BW29" s="103">
        <v>0</v>
      </c>
      <c r="BX29" s="414">
        <v>0</v>
      </c>
      <c r="BY29" s="408">
        <v>0</v>
      </c>
      <c r="BZ29" s="106">
        <v>0</v>
      </c>
      <c r="CA29" s="140">
        <v>0</v>
      </c>
      <c r="CB29" s="140">
        <v>13</v>
      </c>
      <c r="CC29" s="415"/>
      <c r="CD29" s="103">
        <v>44</v>
      </c>
      <c r="CE29" s="106">
        <v>1</v>
      </c>
      <c r="CF29" s="416">
        <v>9731</v>
      </c>
      <c r="CG29" s="106">
        <v>306</v>
      </c>
      <c r="CH29" s="436">
        <v>2159.6</v>
      </c>
      <c r="CI29" s="106">
        <v>415</v>
      </c>
      <c r="CJ29" s="412">
        <v>226</v>
      </c>
      <c r="CK29" s="103">
        <v>1917</v>
      </c>
      <c r="CL29" s="105">
        <v>424.2</v>
      </c>
      <c r="CM29" s="106">
        <v>351</v>
      </c>
      <c r="CN29" s="142">
        <v>77.599999999999994</v>
      </c>
      <c r="CO29" s="404"/>
      <c r="CP29" s="437">
        <v>462</v>
      </c>
      <c r="CQ29" s="437">
        <v>94</v>
      </c>
      <c r="CR29" s="437">
        <v>15463</v>
      </c>
      <c r="CS29" s="437">
        <v>3124</v>
      </c>
      <c r="CT29" s="437">
        <v>4528</v>
      </c>
    </row>
    <row r="30" spans="1:98" ht="15.75" customHeight="1" x14ac:dyDescent="0.2">
      <c r="A30" s="419" t="s">
        <v>251</v>
      </c>
      <c r="B30" s="186">
        <v>2552</v>
      </c>
      <c r="C30" s="192">
        <v>9.73</v>
      </c>
      <c r="D30" s="163">
        <v>2060</v>
      </c>
      <c r="E30" s="396"/>
      <c r="F30" s="135">
        <v>1</v>
      </c>
      <c r="G30" s="420">
        <v>100</v>
      </c>
      <c r="H30" s="420">
        <v>21</v>
      </c>
      <c r="I30" s="420">
        <v>1484</v>
      </c>
      <c r="J30" s="420">
        <v>13</v>
      </c>
      <c r="K30" s="420">
        <v>366</v>
      </c>
      <c r="L30" s="420" t="s">
        <v>143</v>
      </c>
      <c r="M30" s="420" t="s">
        <v>143</v>
      </c>
      <c r="N30" s="421">
        <v>3</v>
      </c>
      <c r="O30" s="129">
        <v>178</v>
      </c>
      <c r="P30" s="422">
        <v>974</v>
      </c>
      <c r="Q30" s="420">
        <v>9</v>
      </c>
      <c r="R30" s="421">
        <v>434</v>
      </c>
      <c r="S30" s="420">
        <v>1</v>
      </c>
      <c r="T30" s="420">
        <v>10</v>
      </c>
      <c r="U30" s="421">
        <v>932</v>
      </c>
      <c r="V30" s="420">
        <v>1</v>
      </c>
      <c r="W30" s="421">
        <v>66</v>
      </c>
      <c r="X30" s="420">
        <v>4</v>
      </c>
      <c r="Y30" s="421">
        <v>41</v>
      </c>
      <c r="Z30" s="129" t="s">
        <v>143</v>
      </c>
      <c r="AA30" s="402"/>
      <c r="AB30" s="1039">
        <v>75721</v>
      </c>
      <c r="AC30" s="1040">
        <v>14002</v>
      </c>
      <c r="AD30" s="1040">
        <v>23445228089</v>
      </c>
      <c r="AE30" s="423">
        <v>99.09</v>
      </c>
      <c r="AF30" s="129">
        <v>13</v>
      </c>
      <c r="AG30" s="404"/>
      <c r="AH30" s="122">
        <v>44343</v>
      </c>
      <c r="AI30" s="124">
        <v>16.925999999999998</v>
      </c>
      <c r="AJ30" s="125">
        <v>29466</v>
      </c>
      <c r="AK30" s="124">
        <v>28.193999999999999</v>
      </c>
      <c r="AL30" s="125">
        <v>415655</v>
      </c>
      <c r="AM30" s="127">
        <v>93.847700000000003</v>
      </c>
      <c r="AN30" s="491">
        <v>31.8</v>
      </c>
      <c r="AO30" s="492">
        <v>13.1</v>
      </c>
      <c r="AP30" s="493"/>
      <c r="AQ30" s="122">
        <v>984</v>
      </c>
      <c r="AR30" s="425">
        <v>14.997713763145862</v>
      </c>
      <c r="AS30" s="426">
        <v>5048</v>
      </c>
      <c r="AT30" s="427">
        <v>76.93949093126048</v>
      </c>
      <c r="AU30" s="125">
        <v>3372</v>
      </c>
      <c r="AV30" s="428">
        <v>55.460526315789473</v>
      </c>
      <c r="AW30" s="426">
        <v>569</v>
      </c>
      <c r="AX30" s="427">
        <v>8.6724584666971491</v>
      </c>
      <c r="AY30" s="125">
        <v>19</v>
      </c>
      <c r="AZ30" s="426">
        <v>1028</v>
      </c>
      <c r="BA30" s="426">
        <v>611</v>
      </c>
      <c r="BB30" s="426">
        <v>810</v>
      </c>
      <c r="BC30" s="429">
        <v>510</v>
      </c>
      <c r="BD30" s="122">
        <v>8</v>
      </c>
      <c r="BE30" s="426">
        <v>369</v>
      </c>
      <c r="BF30" s="426">
        <v>251</v>
      </c>
      <c r="BG30" s="426">
        <v>332</v>
      </c>
      <c r="BH30" s="426">
        <v>233</v>
      </c>
      <c r="BI30" s="125">
        <v>8</v>
      </c>
      <c r="BJ30" s="426">
        <v>90</v>
      </c>
      <c r="BK30" s="426">
        <v>413</v>
      </c>
      <c r="BL30" s="426">
        <v>237</v>
      </c>
      <c r="BM30" s="426">
        <v>25</v>
      </c>
      <c r="BN30" s="426">
        <v>310</v>
      </c>
      <c r="BO30" s="429">
        <v>154</v>
      </c>
      <c r="BP30" s="122">
        <v>56</v>
      </c>
      <c r="BQ30" s="426">
        <v>1350</v>
      </c>
      <c r="BR30" s="426">
        <v>3908</v>
      </c>
      <c r="BS30" s="426">
        <v>2733</v>
      </c>
      <c r="BT30" s="426">
        <v>1001</v>
      </c>
      <c r="BU30" s="426">
        <v>3603</v>
      </c>
      <c r="BV30" s="429">
        <v>2473</v>
      </c>
      <c r="BW30" s="122" t="s">
        <v>143</v>
      </c>
      <c r="BX30" s="430" t="s">
        <v>143</v>
      </c>
      <c r="BY30" s="426" t="s">
        <v>143</v>
      </c>
      <c r="BZ30" s="125" t="s">
        <v>143</v>
      </c>
      <c r="CA30" s="148">
        <v>26</v>
      </c>
      <c r="CB30" s="148">
        <v>12</v>
      </c>
      <c r="CC30" s="415"/>
      <c r="CD30" s="122">
        <v>27</v>
      </c>
      <c r="CE30" s="125" t="s">
        <v>143</v>
      </c>
      <c r="CF30" s="431">
        <v>5441</v>
      </c>
      <c r="CG30" s="125" t="s">
        <v>143</v>
      </c>
      <c r="CH30" s="432">
        <v>2076.8000000000002</v>
      </c>
      <c r="CI30" s="125">
        <v>263</v>
      </c>
      <c r="CJ30" s="429">
        <v>138</v>
      </c>
      <c r="CK30" s="122">
        <v>979</v>
      </c>
      <c r="CL30" s="124">
        <v>373.7</v>
      </c>
      <c r="CM30" s="125">
        <v>201</v>
      </c>
      <c r="CN30" s="132">
        <v>76.7</v>
      </c>
      <c r="CO30" s="404"/>
      <c r="CP30" s="433">
        <v>271</v>
      </c>
      <c r="CQ30" s="433">
        <v>73</v>
      </c>
      <c r="CR30" s="433">
        <v>10464</v>
      </c>
      <c r="CS30" s="433">
        <v>2184</v>
      </c>
      <c r="CT30" s="433">
        <v>2671</v>
      </c>
    </row>
    <row r="31" spans="1:98" ht="15.75" customHeight="1" x14ac:dyDescent="0.2">
      <c r="A31" s="395" t="s">
        <v>178</v>
      </c>
      <c r="B31" s="103">
        <v>2840</v>
      </c>
      <c r="C31" s="141">
        <v>15.2</v>
      </c>
      <c r="D31" s="106">
        <v>2340</v>
      </c>
      <c r="E31" s="396"/>
      <c r="F31" s="145">
        <v>3</v>
      </c>
      <c r="G31" s="397">
        <v>220</v>
      </c>
      <c r="H31" s="397">
        <v>12</v>
      </c>
      <c r="I31" s="397">
        <v>747</v>
      </c>
      <c r="J31" s="397">
        <v>15</v>
      </c>
      <c r="K31" s="397">
        <v>417</v>
      </c>
      <c r="L31" s="397">
        <v>1</v>
      </c>
      <c r="M31" s="397">
        <v>50</v>
      </c>
      <c r="N31" s="401">
        <v>34</v>
      </c>
      <c r="O31" s="140">
        <v>895</v>
      </c>
      <c r="P31" s="434">
        <v>798</v>
      </c>
      <c r="Q31" s="397">
        <v>4</v>
      </c>
      <c r="R31" s="401">
        <v>200</v>
      </c>
      <c r="S31" s="397">
        <v>5</v>
      </c>
      <c r="T31" s="397">
        <v>5</v>
      </c>
      <c r="U31" s="401">
        <v>481</v>
      </c>
      <c r="V31" s="397">
        <v>1</v>
      </c>
      <c r="W31" s="401">
        <v>114</v>
      </c>
      <c r="X31" s="397" t="s">
        <v>143</v>
      </c>
      <c r="Y31" s="401" t="s">
        <v>143</v>
      </c>
      <c r="Z31" s="140" t="s">
        <v>143</v>
      </c>
      <c r="AA31" s="402"/>
      <c r="AB31" s="1038">
        <v>54905</v>
      </c>
      <c r="AC31" s="1027">
        <v>10896</v>
      </c>
      <c r="AD31" s="1027">
        <v>19060738424</v>
      </c>
      <c r="AE31" s="403">
        <v>97.327150558192685</v>
      </c>
      <c r="AF31" s="140">
        <v>9</v>
      </c>
      <c r="AG31" s="404"/>
      <c r="AH31" s="103">
        <v>41393</v>
      </c>
      <c r="AI31" s="105">
        <v>22.115071245011247</v>
      </c>
      <c r="AJ31" s="106">
        <v>27123</v>
      </c>
      <c r="AK31" s="105">
        <v>29.801237185896522</v>
      </c>
      <c r="AL31" s="106">
        <v>367191.39612978039</v>
      </c>
      <c r="AM31" s="109">
        <v>92.64</v>
      </c>
      <c r="AN31" s="105">
        <v>33.299999999999997</v>
      </c>
      <c r="AO31" s="435">
        <v>24.2</v>
      </c>
      <c r="AP31" s="406"/>
      <c r="AQ31" s="103">
        <v>1052</v>
      </c>
      <c r="AR31" s="407">
        <v>12</v>
      </c>
      <c r="AS31" s="408">
        <v>2627</v>
      </c>
      <c r="AT31" s="409">
        <v>31</v>
      </c>
      <c r="AU31" s="106">
        <v>1777</v>
      </c>
      <c r="AV31" s="411">
        <v>22</v>
      </c>
      <c r="AW31" s="408">
        <v>421</v>
      </c>
      <c r="AX31" s="409">
        <v>5</v>
      </c>
      <c r="AY31" s="106">
        <v>5</v>
      </c>
      <c r="AZ31" s="408">
        <v>262</v>
      </c>
      <c r="BA31" s="408">
        <v>173</v>
      </c>
      <c r="BB31" s="408">
        <v>175</v>
      </c>
      <c r="BC31" s="412">
        <v>90</v>
      </c>
      <c r="BD31" s="103">
        <v>21</v>
      </c>
      <c r="BE31" s="408">
        <v>1226</v>
      </c>
      <c r="BF31" s="408">
        <v>924</v>
      </c>
      <c r="BG31" s="408">
        <v>1169</v>
      </c>
      <c r="BH31" s="408">
        <v>821</v>
      </c>
      <c r="BI31" s="397" t="s">
        <v>143</v>
      </c>
      <c r="BJ31" s="397" t="s">
        <v>143</v>
      </c>
      <c r="BK31" s="397" t="s">
        <v>143</v>
      </c>
      <c r="BL31" s="401" t="s">
        <v>143</v>
      </c>
      <c r="BM31" s="106" t="s">
        <v>143</v>
      </c>
      <c r="BN31" s="106" t="s">
        <v>143</v>
      </c>
      <c r="BO31" s="120" t="s">
        <v>143</v>
      </c>
      <c r="BP31" s="103">
        <v>27</v>
      </c>
      <c r="BQ31" s="408">
        <v>1162</v>
      </c>
      <c r="BR31" s="408">
        <v>1616</v>
      </c>
      <c r="BS31" s="408">
        <v>1082</v>
      </c>
      <c r="BT31" s="408">
        <v>711</v>
      </c>
      <c r="BU31" s="408">
        <v>1470</v>
      </c>
      <c r="BV31" s="412">
        <v>973</v>
      </c>
      <c r="BW31" s="103">
        <v>6</v>
      </c>
      <c r="BX31" s="414">
        <v>86</v>
      </c>
      <c r="BY31" s="408">
        <v>59</v>
      </c>
      <c r="BZ31" s="106">
        <v>0</v>
      </c>
      <c r="CA31" s="120">
        <v>6</v>
      </c>
      <c r="CB31" s="120">
        <v>19</v>
      </c>
      <c r="CC31" s="415"/>
      <c r="CD31" s="103">
        <v>14</v>
      </c>
      <c r="CE31" s="106">
        <v>1</v>
      </c>
      <c r="CF31" s="416">
        <v>3532</v>
      </c>
      <c r="CG31" s="106">
        <v>408</v>
      </c>
      <c r="CH31" s="436">
        <v>1887.0444673587253</v>
      </c>
      <c r="CI31" s="106">
        <v>228</v>
      </c>
      <c r="CJ31" s="412">
        <v>137</v>
      </c>
      <c r="CK31" s="103">
        <v>661</v>
      </c>
      <c r="CL31" s="105">
        <v>353.15299912913861</v>
      </c>
      <c r="CM31" s="106">
        <v>204</v>
      </c>
      <c r="CN31" s="142">
        <v>108.99124330157984</v>
      </c>
      <c r="CO31" s="404"/>
      <c r="CP31" s="437">
        <v>190</v>
      </c>
      <c r="CQ31" s="437">
        <v>61</v>
      </c>
      <c r="CR31" s="437">
        <v>9431</v>
      </c>
      <c r="CS31" s="437">
        <v>1507</v>
      </c>
      <c r="CT31" s="437">
        <v>2213</v>
      </c>
    </row>
    <row r="32" spans="1:98" ht="15.75" customHeight="1" x14ac:dyDescent="0.2">
      <c r="A32" s="121" t="s">
        <v>179</v>
      </c>
      <c r="B32" s="186">
        <v>3289</v>
      </c>
      <c r="C32" s="192">
        <v>8.8000000000000007</v>
      </c>
      <c r="D32" s="163">
        <v>2634</v>
      </c>
      <c r="E32" s="396"/>
      <c r="F32" s="193">
        <v>2</v>
      </c>
      <c r="G32" s="438">
        <v>150</v>
      </c>
      <c r="H32" s="420">
        <v>23</v>
      </c>
      <c r="I32" s="420">
        <v>1671</v>
      </c>
      <c r="J32" s="420">
        <v>20</v>
      </c>
      <c r="K32" s="420">
        <v>551</v>
      </c>
      <c r="L32" s="438">
        <v>1</v>
      </c>
      <c r="M32" s="438">
        <v>50</v>
      </c>
      <c r="N32" s="467">
        <v>50</v>
      </c>
      <c r="O32" s="202">
        <v>1148</v>
      </c>
      <c r="P32" s="422">
        <v>1209</v>
      </c>
      <c r="Q32" s="438">
        <v>8</v>
      </c>
      <c r="R32" s="467">
        <v>319</v>
      </c>
      <c r="S32" s="438">
        <v>11</v>
      </c>
      <c r="T32" s="420">
        <v>13</v>
      </c>
      <c r="U32" s="421">
        <v>1324</v>
      </c>
      <c r="V32" s="420">
        <v>1</v>
      </c>
      <c r="W32" s="421">
        <v>60</v>
      </c>
      <c r="X32" s="420">
        <v>4</v>
      </c>
      <c r="Y32" s="421">
        <v>207</v>
      </c>
      <c r="Z32" s="129">
        <v>10</v>
      </c>
      <c r="AA32" s="402"/>
      <c r="AB32" s="1043">
        <v>110525</v>
      </c>
      <c r="AC32" s="1044">
        <v>21218</v>
      </c>
      <c r="AD32" s="1044">
        <v>28734265562</v>
      </c>
      <c r="AE32" s="423">
        <v>98.25</v>
      </c>
      <c r="AF32" s="494">
        <v>19</v>
      </c>
      <c r="AG32" s="495"/>
      <c r="AH32" s="150">
        <v>71018</v>
      </c>
      <c r="AI32" s="152">
        <v>18.989999999999998</v>
      </c>
      <c r="AJ32" s="151">
        <v>46169</v>
      </c>
      <c r="AK32" s="152">
        <v>28.59</v>
      </c>
      <c r="AL32" s="151">
        <v>382454.32147725864</v>
      </c>
      <c r="AM32" s="496">
        <v>92.32</v>
      </c>
      <c r="AN32" s="152">
        <v>47.2</v>
      </c>
      <c r="AO32" s="448">
        <v>37.9</v>
      </c>
      <c r="AP32" s="406"/>
      <c r="AQ32" s="122">
        <v>1148</v>
      </c>
      <c r="AR32" s="425">
        <v>13</v>
      </c>
      <c r="AS32" s="426">
        <v>5258</v>
      </c>
      <c r="AT32" s="427">
        <v>59.7</v>
      </c>
      <c r="AU32" s="125">
        <v>2809</v>
      </c>
      <c r="AV32" s="428">
        <v>35.4</v>
      </c>
      <c r="AW32" s="426">
        <v>799</v>
      </c>
      <c r="AX32" s="427">
        <v>9</v>
      </c>
      <c r="AY32" s="125">
        <v>32</v>
      </c>
      <c r="AZ32" s="426">
        <v>1863</v>
      </c>
      <c r="BA32" s="426">
        <v>843</v>
      </c>
      <c r="BB32" s="426">
        <v>1370</v>
      </c>
      <c r="BC32" s="429">
        <v>610</v>
      </c>
      <c r="BD32" s="122">
        <v>41</v>
      </c>
      <c r="BE32" s="426">
        <v>3057</v>
      </c>
      <c r="BF32" s="426">
        <v>1718</v>
      </c>
      <c r="BG32" s="426">
        <v>2782</v>
      </c>
      <c r="BH32" s="426">
        <v>1553</v>
      </c>
      <c r="BI32" s="125">
        <v>2</v>
      </c>
      <c r="BJ32" s="426">
        <v>45</v>
      </c>
      <c r="BK32" s="426">
        <v>101</v>
      </c>
      <c r="BL32" s="426">
        <v>56</v>
      </c>
      <c r="BM32" s="426">
        <v>25</v>
      </c>
      <c r="BN32" s="426">
        <v>98</v>
      </c>
      <c r="BO32" s="429">
        <v>36</v>
      </c>
      <c r="BP32" s="122">
        <v>13</v>
      </c>
      <c r="BQ32" s="426">
        <v>859</v>
      </c>
      <c r="BR32" s="426">
        <v>1016</v>
      </c>
      <c r="BS32" s="426">
        <v>641</v>
      </c>
      <c r="BT32" s="426">
        <v>819</v>
      </c>
      <c r="BU32" s="426">
        <v>1008</v>
      </c>
      <c r="BV32" s="429">
        <v>574</v>
      </c>
      <c r="BW32" s="122">
        <v>4</v>
      </c>
      <c r="BX32" s="430">
        <v>42</v>
      </c>
      <c r="BY32" s="426">
        <v>36</v>
      </c>
      <c r="BZ32" s="125">
        <v>2</v>
      </c>
      <c r="CA32" s="148">
        <v>39</v>
      </c>
      <c r="CB32" s="148">
        <v>18</v>
      </c>
      <c r="CC32" s="415"/>
      <c r="CD32" s="122">
        <v>25</v>
      </c>
      <c r="CE32" s="125">
        <v>0</v>
      </c>
      <c r="CF32" s="431">
        <v>5196</v>
      </c>
      <c r="CG32" s="125">
        <v>0</v>
      </c>
      <c r="CH32" s="432">
        <v>1389.4</v>
      </c>
      <c r="CI32" s="125">
        <v>298</v>
      </c>
      <c r="CJ32" s="429">
        <v>207</v>
      </c>
      <c r="CK32" s="122">
        <v>967</v>
      </c>
      <c r="CL32" s="124">
        <v>258.60000000000002</v>
      </c>
      <c r="CM32" s="125">
        <v>311</v>
      </c>
      <c r="CN32" s="132">
        <v>83.2</v>
      </c>
      <c r="CO32" s="404"/>
      <c r="CP32" s="433">
        <v>346</v>
      </c>
      <c r="CQ32" s="433">
        <v>81</v>
      </c>
      <c r="CR32" s="433">
        <v>15178</v>
      </c>
      <c r="CS32" s="433">
        <v>3468</v>
      </c>
      <c r="CT32" s="433">
        <v>4051</v>
      </c>
    </row>
    <row r="33" spans="1:98" ht="15.75" customHeight="1" x14ac:dyDescent="0.2">
      <c r="A33" s="395" t="s">
        <v>340</v>
      </c>
      <c r="B33" s="103">
        <v>1903</v>
      </c>
      <c r="C33" s="141">
        <v>8</v>
      </c>
      <c r="D33" s="106">
        <v>1588</v>
      </c>
      <c r="E33" s="396"/>
      <c r="F33" s="145">
        <v>2</v>
      </c>
      <c r="G33" s="397">
        <v>200</v>
      </c>
      <c r="H33" s="397">
        <v>9</v>
      </c>
      <c r="I33" s="397">
        <v>722</v>
      </c>
      <c r="J33" s="397">
        <v>3</v>
      </c>
      <c r="K33" s="397">
        <v>87</v>
      </c>
      <c r="L33" s="397">
        <v>0</v>
      </c>
      <c r="M33" s="397">
        <v>0</v>
      </c>
      <c r="N33" s="401">
        <v>53</v>
      </c>
      <c r="O33" s="140">
        <v>1557</v>
      </c>
      <c r="P33" s="434">
        <v>696</v>
      </c>
      <c r="Q33" s="397">
        <v>6</v>
      </c>
      <c r="R33" s="401">
        <v>200</v>
      </c>
      <c r="S33" s="397">
        <v>1</v>
      </c>
      <c r="T33" s="397">
        <v>9</v>
      </c>
      <c r="U33" s="401">
        <v>686</v>
      </c>
      <c r="V33" s="397">
        <v>1</v>
      </c>
      <c r="W33" s="401">
        <v>58</v>
      </c>
      <c r="X33" s="397">
        <v>1</v>
      </c>
      <c r="Y33" s="401">
        <v>44</v>
      </c>
      <c r="Z33" s="140">
        <v>0</v>
      </c>
      <c r="AA33" s="402"/>
      <c r="AB33" s="1038">
        <v>66740</v>
      </c>
      <c r="AC33" s="1027">
        <v>12900</v>
      </c>
      <c r="AD33" s="1027">
        <v>19000127175</v>
      </c>
      <c r="AE33" s="403">
        <v>97.8</v>
      </c>
      <c r="AF33" s="140">
        <v>12</v>
      </c>
      <c r="AG33" s="404"/>
      <c r="AH33" s="103">
        <v>47724</v>
      </c>
      <c r="AI33" s="105">
        <v>20.100000000000001</v>
      </c>
      <c r="AJ33" s="106">
        <v>30411</v>
      </c>
      <c r="AK33" s="105">
        <v>28.7</v>
      </c>
      <c r="AL33" s="106">
        <v>392393</v>
      </c>
      <c r="AM33" s="109">
        <v>92.49</v>
      </c>
      <c r="AN33" s="105">
        <v>42.3</v>
      </c>
      <c r="AO33" s="435">
        <v>43</v>
      </c>
      <c r="AP33" s="406"/>
      <c r="AQ33" s="103">
        <v>488</v>
      </c>
      <c r="AR33" s="407">
        <v>8</v>
      </c>
      <c r="AS33" s="408">
        <v>4069</v>
      </c>
      <c r="AT33" s="409">
        <v>67.2</v>
      </c>
      <c r="AU33" s="106">
        <v>1718</v>
      </c>
      <c r="AV33" s="411">
        <v>31.9</v>
      </c>
      <c r="AW33" s="408">
        <v>342</v>
      </c>
      <c r="AX33" s="409">
        <v>5.6</v>
      </c>
      <c r="AY33" s="106">
        <v>42</v>
      </c>
      <c r="AZ33" s="408">
        <v>4422</v>
      </c>
      <c r="BA33" s="408">
        <v>1235</v>
      </c>
      <c r="BB33" s="408">
        <v>3125</v>
      </c>
      <c r="BC33" s="412">
        <v>1017</v>
      </c>
      <c r="BD33" s="103">
        <v>5</v>
      </c>
      <c r="BE33" s="408">
        <v>464</v>
      </c>
      <c r="BF33" s="408">
        <v>195</v>
      </c>
      <c r="BG33" s="408">
        <v>452</v>
      </c>
      <c r="BH33" s="408">
        <v>197</v>
      </c>
      <c r="BI33" s="397" t="s">
        <v>143</v>
      </c>
      <c r="BJ33" s="397" t="s">
        <v>143</v>
      </c>
      <c r="BK33" s="397" t="s">
        <v>143</v>
      </c>
      <c r="BL33" s="401" t="s">
        <v>143</v>
      </c>
      <c r="BM33" s="106" t="s">
        <v>143</v>
      </c>
      <c r="BN33" s="106" t="s">
        <v>143</v>
      </c>
      <c r="BO33" s="120" t="s">
        <v>143</v>
      </c>
      <c r="BP33" s="103">
        <v>9</v>
      </c>
      <c r="BQ33" s="408">
        <v>519</v>
      </c>
      <c r="BR33" s="408">
        <v>462</v>
      </c>
      <c r="BS33" s="408">
        <v>237</v>
      </c>
      <c r="BT33" s="408">
        <v>467</v>
      </c>
      <c r="BU33" s="408">
        <v>479</v>
      </c>
      <c r="BV33" s="412">
        <v>222</v>
      </c>
      <c r="BW33" s="103">
        <v>3</v>
      </c>
      <c r="BX33" s="414">
        <v>56</v>
      </c>
      <c r="BY33" s="408">
        <v>46</v>
      </c>
      <c r="BZ33" s="106">
        <v>33</v>
      </c>
      <c r="CA33" s="120">
        <v>0</v>
      </c>
      <c r="CB33" s="120">
        <v>0</v>
      </c>
      <c r="CC33" s="415"/>
      <c r="CD33" s="103">
        <v>16</v>
      </c>
      <c r="CE33" s="106">
        <v>1</v>
      </c>
      <c r="CF33" s="416">
        <v>3718</v>
      </c>
      <c r="CG33" s="106">
        <v>199</v>
      </c>
      <c r="CH33" s="436">
        <v>1563.2555069228085</v>
      </c>
      <c r="CI33" s="106">
        <v>242</v>
      </c>
      <c r="CJ33" s="412">
        <v>142</v>
      </c>
      <c r="CK33" s="103">
        <v>1196</v>
      </c>
      <c r="CL33" s="105">
        <v>499.1</v>
      </c>
      <c r="CM33" s="106">
        <v>233</v>
      </c>
      <c r="CN33" s="142">
        <v>97.2</v>
      </c>
      <c r="CO33" s="404"/>
      <c r="CP33" s="437">
        <v>155</v>
      </c>
      <c r="CQ33" s="437">
        <v>23</v>
      </c>
      <c r="CR33" s="437">
        <v>9760</v>
      </c>
      <c r="CS33" s="437">
        <v>2024</v>
      </c>
      <c r="CT33" s="437">
        <v>2802</v>
      </c>
    </row>
    <row r="34" spans="1:98" ht="15.75" customHeight="1" x14ac:dyDescent="0.2">
      <c r="A34" s="121" t="s">
        <v>181</v>
      </c>
      <c r="B34" s="186">
        <v>6188</v>
      </c>
      <c r="C34" s="192">
        <v>15.16</v>
      </c>
      <c r="D34" s="163">
        <v>5131</v>
      </c>
      <c r="E34" s="396"/>
      <c r="F34" s="193">
        <v>2</v>
      </c>
      <c r="G34" s="438">
        <v>200</v>
      </c>
      <c r="H34" s="438">
        <v>20</v>
      </c>
      <c r="I34" s="438">
        <v>1769</v>
      </c>
      <c r="J34" s="438">
        <v>5</v>
      </c>
      <c r="K34" s="438">
        <v>145</v>
      </c>
      <c r="L34" s="438" t="s">
        <v>143</v>
      </c>
      <c r="M34" s="467" t="s">
        <v>143</v>
      </c>
      <c r="N34" s="467">
        <v>8</v>
      </c>
      <c r="O34" s="202">
        <v>293</v>
      </c>
      <c r="P34" s="404">
        <v>1494</v>
      </c>
      <c r="Q34" s="438">
        <v>11</v>
      </c>
      <c r="R34" s="467">
        <v>370</v>
      </c>
      <c r="S34" s="438">
        <v>9</v>
      </c>
      <c r="T34" s="438">
        <v>15</v>
      </c>
      <c r="U34" s="467">
        <v>1368</v>
      </c>
      <c r="V34" s="438">
        <v>2</v>
      </c>
      <c r="W34" s="467">
        <v>103</v>
      </c>
      <c r="X34" s="438">
        <v>4</v>
      </c>
      <c r="Y34" s="467">
        <v>92</v>
      </c>
      <c r="Z34" s="202" t="s">
        <v>143</v>
      </c>
      <c r="AA34" s="402"/>
      <c r="AB34" s="1036">
        <v>116754</v>
      </c>
      <c r="AC34" s="1032">
        <v>23608</v>
      </c>
      <c r="AD34" s="1032">
        <v>35297322559</v>
      </c>
      <c r="AE34" s="161">
        <v>98.8</v>
      </c>
      <c r="AF34" s="202">
        <v>19</v>
      </c>
      <c r="AG34" s="404"/>
      <c r="AH34" s="186">
        <v>86560</v>
      </c>
      <c r="AI34" s="162">
        <v>21.2</v>
      </c>
      <c r="AJ34" s="163">
        <v>55139</v>
      </c>
      <c r="AK34" s="162">
        <v>30.3</v>
      </c>
      <c r="AL34" s="163">
        <v>403871</v>
      </c>
      <c r="AM34" s="200">
        <v>90.2</v>
      </c>
      <c r="AN34" s="162">
        <v>39.200000000000003</v>
      </c>
      <c r="AO34" s="468">
        <v>18.2</v>
      </c>
      <c r="AP34" s="406"/>
      <c r="AQ34" s="186">
        <v>439</v>
      </c>
      <c r="AR34" s="1055">
        <v>4.5</v>
      </c>
      <c r="AS34" s="1056">
        <v>3431</v>
      </c>
      <c r="AT34" s="1057">
        <v>35.1</v>
      </c>
      <c r="AU34" s="1058">
        <v>2488</v>
      </c>
      <c r="AV34" s="1059">
        <v>28.3</v>
      </c>
      <c r="AW34" s="1056">
        <v>2018</v>
      </c>
      <c r="AX34" s="1057">
        <v>20.7</v>
      </c>
      <c r="AY34" s="163">
        <v>20</v>
      </c>
      <c r="AZ34" s="190">
        <v>1271</v>
      </c>
      <c r="BA34" s="190">
        <v>819</v>
      </c>
      <c r="BB34" s="190">
        <v>1157</v>
      </c>
      <c r="BC34" s="159">
        <v>674</v>
      </c>
      <c r="BD34" s="186">
        <v>17</v>
      </c>
      <c r="BE34" s="190">
        <v>1312</v>
      </c>
      <c r="BF34" s="190">
        <v>783</v>
      </c>
      <c r="BG34" s="190">
        <v>1306</v>
      </c>
      <c r="BH34" s="190">
        <v>777</v>
      </c>
      <c r="BI34" s="163" t="s">
        <v>143</v>
      </c>
      <c r="BJ34" s="190" t="s">
        <v>143</v>
      </c>
      <c r="BK34" s="190" t="s">
        <v>143</v>
      </c>
      <c r="BL34" s="190" t="s">
        <v>143</v>
      </c>
      <c r="BM34" s="190" t="s">
        <v>143</v>
      </c>
      <c r="BN34" s="190" t="s">
        <v>143</v>
      </c>
      <c r="BO34" s="159" t="s">
        <v>143</v>
      </c>
      <c r="BP34" s="186">
        <v>14</v>
      </c>
      <c r="BQ34" s="190">
        <v>316</v>
      </c>
      <c r="BR34" s="190">
        <v>994</v>
      </c>
      <c r="BS34" s="190">
        <v>672</v>
      </c>
      <c r="BT34" s="190">
        <v>275</v>
      </c>
      <c r="BU34" s="190">
        <v>968</v>
      </c>
      <c r="BV34" s="159">
        <v>589</v>
      </c>
      <c r="BW34" s="186">
        <v>25</v>
      </c>
      <c r="BX34" s="415">
        <v>424</v>
      </c>
      <c r="BY34" s="190">
        <v>448</v>
      </c>
      <c r="BZ34" s="163" t="s">
        <v>143</v>
      </c>
      <c r="CA34" s="195">
        <v>13</v>
      </c>
      <c r="CB34" s="195">
        <v>6</v>
      </c>
      <c r="CC34" s="415"/>
      <c r="CD34" s="497">
        <v>32</v>
      </c>
      <c r="CE34" s="163">
        <v>1</v>
      </c>
      <c r="CF34" s="469">
        <v>6913</v>
      </c>
      <c r="CG34" s="163">
        <v>565</v>
      </c>
      <c r="CH34" s="442">
        <v>1693.9</v>
      </c>
      <c r="CI34" s="163">
        <v>398</v>
      </c>
      <c r="CJ34" s="159">
        <v>259</v>
      </c>
      <c r="CK34" s="186">
        <v>1627</v>
      </c>
      <c r="CL34" s="162">
        <v>403.7</v>
      </c>
      <c r="CM34" s="163">
        <v>430</v>
      </c>
      <c r="CN34" s="164">
        <v>106.7</v>
      </c>
      <c r="CO34" s="404"/>
      <c r="CP34" s="443">
        <v>257</v>
      </c>
      <c r="CQ34" s="443">
        <v>75</v>
      </c>
      <c r="CR34" s="443">
        <v>16358</v>
      </c>
      <c r="CS34" s="443">
        <v>4137</v>
      </c>
      <c r="CT34" s="443">
        <v>4306</v>
      </c>
    </row>
    <row r="35" spans="1:98" ht="15.75" customHeight="1" x14ac:dyDescent="0.2">
      <c r="A35" s="169" t="s">
        <v>182</v>
      </c>
      <c r="B35" s="139">
        <v>2037</v>
      </c>
      <c r="C35" s="179">
        <v>5.4</v>
      </c>
      <c r="D35" s="138">
        <v>1711</v>
      </c>
      <c r="E35" s="396"/>
      <c r="F35" s="183">
        <v>1</v>
      </c>
      <c r="G35" s="456">
        <v>60</v>
      </c>
      <c r="H35" s="456">
        <v>9</v>
      </c>
      <c r="I35" s="456">
        <v>762</v>
      </c>
      <c r="J35" s="456">
        <v>11</v>
      </c>
      <c r="K35" s="456">
        <v>319</v>
      </c>
      <c r="L35" s="456">
        <v>1</v>
      </c>
      <c r="M35" s="456">
        <v>100</v>
      </c>
      <c r="N35" s="457">
        <v>34</v>
      </c>
      <c r="O35" s="197">
        <v>1255</v>
      </c>
      <c r="P35" s="458">
        <v>769</v>
      </c>
      <c r="Q35" s="456">
        <v>6</v>
      </c>
      <c r="R35" s="457">
        <v>151</v>
      </c>
      <c r="S35" s="456">
        <v>5</v>
      </c>
      <c r="T35" s="456">
        <v>7</v>
      </c>
      <c r="U35" s="457">
        <v>736</v>
      </c>
      <c r="V35" s="456">
        <v>2</v>
      </c>
      <c r="W35" s="457">
        <v>343</v>
      </c>
      <c r="X35" s="456">
        <v>1</v>
      </c>
      <c r="Y35" s="457">
        <v>22</v>
      </c>
      <c r="Z35" s="197">
        <v>3</v>
      </c>
      <c r="AA35" s="402"/>
      <c r="AB35" s="1037">
        <v>95660</v>
      </c>
      <c r="AC35" s="1028">
        <v>13918</v>
      </c>
      <c r="AD35" s="1028">
        <v>20559842893</v>
      </c>
      <c r="AE35" s="178">
        <v>98.9</v>
      </c>
      <c r="AF35" s="197">
        <v>18</v>
      </c>
      <c r="AG35" s="404"/>
      <c r="AH35" s="139">
        <v>75521</v>
      </c>
      <c r="AI35" s="171">
        <v>20.100000000000001</v>
      </c>
      <c r="AJ35" s="138">
        <v>46775</v>
      </c>
      <c r="AK35" s="171">
        <v>29.1</v>
      </c>
      <c r="AL35" s="138">
        <v>351098</v>
      </c>
      <c r="AM35" s="196">
        <v>92.8</v>
      </c>
      <c r="AN35" s="171">
        <v>39.299999999999997</v>
      </c>
      <c r="AO35" s="459">
        <v>14.2</v>
      </c>
      <c r="AP35" s="406"/>
      <c r="AQ35" s="139">
        <v>1234</v>
      </c>
      <c r="AR35" s="407">
        <v>12.7</v>
      </c>
      <c r="AS35" s="174">
        <v>5709</v>
      </c>
      <c r="AT35" s="460">
        <v>58.7</v>
      </c>
      <c r="AU35" s="138">
        <v>2816</v>
      </c>
      <c r="AV35" s="461">
        <v>32.700000000000003</v>
      </c>
      <c r="AW35" s="174">
        <v>504</v>
      </c>
      <c r="AX35" s="460">
        <v>5.2</v>
      </c>
      <c r="AY35" s="138">
        <v>4</v>
      </c>
      <c r="AZ35" s="174">
        <v>270</v>
      </c>
      <c r="BA35" s="174">
        <v>240</v>
      </c>
      <c r="BB35" s="174">
        <v>269</v>
      </c>
      <c r="BC35" s="176">
        <v>201</v>
      </c>
      <c r="BD35" s="139">
        <v>37</v>
      </c>
      <c r="BE35" s="174">
        <v>3751</v>
      </c>
      <c r="BF35" s="174">
        <v>2249</v>
      </c>
      <c r="BG35" s="174">
        <v>3528</v>
      </c>
      <c r="BH35" s="174">
        <v>1648</v>
      </c>
      <c r="BI35" s="138">
        <v>1</v>
      </c>
      <c r="BJ35" s="174">
        <v>15</v>
      </c>
      <c r="BK35" s="174">
        <v>90</v>
      </c>
      <c r="BL35" s="174">
        <v>60</v>
      </c>
      <c r="BM35" s="174">
        <v>11</v>
      </c>
      <c r="BN35" s="174">
        <v>105</v>
      </c>
      <c r="BO35" s="176">
        <v>43</v>
      </c>
      <c r="BP35" s="139">
        <v>21</v>
      </c>
      <c r="BQ35" s="174">
        <v>1375</v>
      </c>
      <c r="BR35" s="174">
        <v>1910</v>
      </c>
      <c r="BS35" s="174">
        <v>1170</v>
      </c>
      <c r="BT35" s="174">
        <v>1099</v>
      </c>
      <c r="BU35" s="174">
        <v>1806</v>
      </c>
      <c r="BV35" s="176">
        <v>924</v>
      </c>
      <c r="BW35" s="139">
        <v>0</v>
      </c>
      <c r="BX35" s="462">
        <v>0</v>
      </c>
      <c r="BY35" s="174">
        <v>0</v>
      </c>
      <c r="BZ35" s="138">
        <v>0</v>
      </c>
      <c r="CA35" s="185">
        <v>1</v>
      </c>
      <c r="CB35" s="185">
        <v>6</v>
      </c>
      <c r="CC35" s="415"/>
      <c r="CD35" s="139">
        <v>21</v>
      </c>
      <c r="CE35" s="138">
        <v>1</v>
      </c>
      <c r="CF35" s="463">
        <v>5202</v>
      </c>
      <c r="CG35" s="138">
        <v>800</v>
      </c>
      <c r="CH35" s="464">
        <v>138.19</v>
      </c>
      <c r="CI35" s="138">
        <v>259</v>
      </c>
      <c r="CJ35" s="176">
        <v>183</v>
      </c>
      <c r="CK35" s="139">
        <v>775</v>
      </c>
      <c r="CL35" s="171">
        <v>206</v>
      </c>
      <c r="CM35" s="138">
        <v>286</v>
      </c>
      <c r="CN35" s="180">
        <v>76</v>
      </c>
      <c r="CO35" s="404"/>
      <c r="CP35" s="465">
        <v>313</v>
      </c>
      <c r="CQ35" s="465">
        <v>95</v>
      </c>
      <c r="CR35" s="465">
        <v>11900</v>
      </c>
      <c r="CS35" s="465">
        <v>3037</v>
      </c>
      <c r="CT35" s="465">
        <v>3672</v>
      </c>
    </row>
    <row r="36" spans="1:98" ht="15.75" customHeight="1" x14ac:dyDescent="0.2">
      <c r="A36" s="121" t="s">
        <v>183</v>
      </c>
      <c r="B36" s="186">
        <v>2020</v>
      </c>
      <c r="C36" s="192">
        <v>5.2</v>
      </c>
      <c r="D36" s="163">
        <v>1600</v>
      </c>
      <c r="E36" s="396"/>
      <c r="F36" s="193">
        <v>1</v>
      </c>
      <c r="G36" s="438">
        <v>70</v>
      </c>
      <c r="H36" s="438">
        <v>8</v>
      </c>
      <c r="I36" s="438">
        <v>720</v>
      </c>
      <c r="J36" s="438">
        <v>13</v>
      </c>
      <c r="K36" s="438">
        <v>377</v>
      </c>
      <c r="L36" s="438" t="s">
        <v>143</v>
      </c>
      <c r="M36" s="438" t="s">
        <v>143</v>
      </c>
      <c r="N36" s="467">
        <v>38</v>
      </c>
      <c r="O36" s="202">
        <v>1295</v>
      </c>
      <c r="P36" s="404">
        <v>797</v>
      </c>
      <c r="Q36" s="438">
        <v>5</v>
      </c>
      <c r="R36" s="467">
        <v>170</v>
      </c>
      <c r="S36" s="438">
        <v>6</v>
      </c>
      <c r="T36" s="438">
        <v>7</v>
      </c>
      <c r="U36" s="467">
        <v>806</v>
      </c>
      <c r="V36" s="438">
        <v>1</v>
      </c>
      <c r="W36" s="467">
        <v>107</v>
      </c>
      <c r="X36" s="438" t="s">
        <v>143</v>
      </c>
      <c r="Y36" s="467" t="s">
        <v>143</v>
      </c>
      <c r="Z36" s="202" t="s">
        <v>143</v>
      </c>
      <c r="AA36" s="402"/>
      <c r="AB36" s="1036">
        <v>90292</v>
      </c>
      <c r="AC36" s="1032">
        <v>14399</v>
      </c>
      <c r="AD36" s="1032">
        <v>21054004148</v>
      </c>
      <c r="AE36" s="161">
        <v>98.5</v>
      </c>
      <c r="AF36" s="202">
        <v>20</v>
      </c>
      <c r="AG36" s="404"/>
      <c r="AH36" s="186">
        <v>71369</v>
      </c>
      <c r="AI36" s="162">
        <f>(71369/387106)*100</f>
        <v>18.436552262171084</v>
      </c>
      <c r="AJ36" s="163">
        <v>45064</v>
      </c>
      <c r="AK36" s="162">
        <f>(45064/164390)*100</f>
        <v>27.412859662996532</v>
      </c>
      <c r="AL36" s="163">
        <f>(24669773439+20376188)/71369</f>
        <v>345950.61759307265</v>
      </c>
      <c r="AM36" s="200">
        <f>((7381831592+6135936)/(8014398641+6252659))*100</f>
        <v>92.111815508049816</v>
      </c>
      <c r="AN36" s="162">
        <v>47.2</v>
      </c>
      <c r="AO36" s="498">
        <v>21.4</v>
      </c>
      <c r="AP36" s="499"/>
      <c r="AQ36" s="186">
        <v>575</v>
      </c>
      <c r="AR36" s="439">
        <v>5.2</v>
      </c>
      <c r="AS36" s="190">
        <v>5164</v>
      </c>
      <c r="AT36" s="440">
        <v>46.8</v>
      </c>
      <c r="AU36" s="163">
        <v>2281</v>
      </c>
      <c r="AV36" s="441">
        <v>23.2</v>
      </c>
      <c r="AW36" s="190">
        <v>718</v>
      </c>
      <c r="AX36" s="440">
        <v>6.5</v>
      </c>
      <c r="AY36" s="163">
        <v>33</v>
      </c>
      <c r="AZ36" s="190">
        <v>3334</v>
      </c>
      <c r="BA36" s="190">
        <v>1666</v>
      </c>
      <c r="BB36" s="190">
        <v>3108</v>
      </c>
      <c r="BC36" s="159">
        <v>1388</v>
      </c>
      <c r="BD36" s="186">
        <v>18</v>
      </c>
      <c r="BE36" s="190">
        <v>2006</v>
      </c>
      <c r="BF36" s="190">
        <v>1009</v>
      </c>
      <c r="BG36" s="190">
        <v>1837</v>
      </c>
      <c r="BH36" s="190">
        <v>856</v>
      </c>
      <c r="BI36" s="163">
        <v>5</v>
      </c>
      <c r="BJ36" s="190">
        <v>410</v>
      </c>
      <c r="BK36" s="190">
        <v>297</v>
      </c>
      <c r="BL36" s="190">
        <v>43</v>
      </c>
      <c r="BM36" s="190">
        <v>313</v>
      </c>
      <c r="BN36" s="190">
        <v>219</v>
      </c>
      <c r="BO36" s="159">
        <v>37</v>
      </c>
      <c r="BP36" s="186" t="s">
        <v>143</v>
      </c>
      <c r="BQ36" s="190" t="s">
        <v>143</v>
      </c>
      <c r="BR36" s="190" t="s">
        <v>143</v>
      </c>
      <c r="BS36" s="190" t="s">
        <v>143</v>
      </c>
      <c r="BT36" s="190" t="s">
        <v>143</v>
      </c>
      <c r="BU36" s="190" t="s">
        <v>143</v>
      </c>
      <c r="BV36" s="159" t="s">
        <v>143</v>
      </c>
      <c r="BW36" s="186" t="s">
        <v>143</v>
      </c>
      <c r="BX36" s="415" t="s">
        <v>143</v>
      </c>
      <c r="BY36" s="190" t="s">
        <v>143</v>
      </c>
      <c r="BZ36" s="163">
        <v>0</v>
      </c>
      <c r="CA36" s="195" t="s">
        <v>143</v>
      </c>
      <c r="CB36" s="195">
        <v>12</v>
      </c>
      <c r="CC36" s="415"/>
      <c r="CD36" s="186">
        <v>15</v>
      </c>
      <c r="CE36" s="163">
        <v>2</v>
      </c>
      <c r="CF36" s="469">
        <v>2718</v>
      </c>
      <c r="CG36" s="163">
        <v>811</v>
      </c>
      <c r="CH36" s="442">
        <v>701.2</v>
      </c>
      <c r="CI36" s="163">
        <v>234</v>
      </c>
      <c r="CJ36" s="159">
        <v>162</v>
      </c>
      <c r="CK36" s="186">
        <v>534</v>
      </c>
      <c r="CL36" s="162">
        <v>138</v>
      </c>
      <c r="CM36" s="163">
        <v>244</v>
      </c>
      <c r="CN36" s="164">
        <v>63</v>
      </c>
      <c r="CO36" s="404"/>
      <c r="CP36" s="443">
        <v>224</v>
      </c>
      <c r="CQ36" s="443">
        <v>82</v>
      </c>
      <c r="CR36" s="443">
        <v>11477</v>
      </c>
      <c r="CS36" s="443">
        <v>2714</v>
      </c>
      <c r="CT36" s="443">
        <v>3842</v>
      </c>
    </row>
    <row r="37" spans="1:98" ht="15.75" customHeight="1" x14ac:dyDescent="0.2">
      <c r="A37" s="169" t="s">
        <v>184</v>
      </c>
      <c r="B37" s="139">
        <v>3267</v>
      </c>
      <c r="C37" s="179">
        <v>8.5</v>
      </c>
      <c r="D37" s="138">
        <v>2606</v>
      </c>
      <c r="E37" s="396"/>
      <c r="F37" s="183">
        <v>1</v>
      </c>
      <c r="G37" s="456">
        <v>80</v>
      </c>
      <c r="H37" s="456">
        <v>16</v>
      </c>
      <c r="I37" s="456">
        <v>1400</v>
      </c>
      <c r="J37" s="456">
        <v>7</v>
      </c>
      <c r="K37" s="456">
        <v>203</v>
      </c>
      <c r="L37" s="456">
        <v>1</v>
      </c>
      <c r="M37" s="456">
        <v>50</v>
      </c>
      <c r="N37" s="457">
        <v>82</v>
      </c>
      <c r="O37" s="197">
        <v>2483</v>
      </c>
      <c r="P37" s="458">
        <v>890</v>
      </c>
      <c r="Q37" s="456">
        <v>6</v>
      </c>
      <c r="R37" s="457">
        <v>266</v>
      </c>
      <c r="S37" s="456">
        <v>4</v>
      </c>
      <c r="T37" s="456">
        <v>8</v>
      </c>
      <c r="U37" s="457">
        <v>835</v>
      </c>
      <c r="V37" s="456" t="s">
        <v>143</v>
      </c>
      <c r="W37" s="457" t="s">
        <v>143</v>
      </c>
      <c r="X37" s="456" t="s">
        <v>143</v>
      </c>
      <c r="Y37" s="457" t="s">
        <v>143</v>
      </c>
      <c r="Z37" s="197">
        <v>12</v>
      </c>
      <c r="AA37" s="402"/>
      <c r="AB37" s="1037">
        <v>102940</v>
      </c>
      <c r="AC37" s="1028">
        <v>16918</v>
      </c>
      <c r="AD37" s="1028">
        <v>26187791353</v>
      </c>
      <c r="AE37" s="178">
        <v>98.43</v>
      </c>
      <c r="AF37" s="197">
        <v>7</v>
      </c>
      <c r="AG37" s="404"/>
      <c r="AH37" s="139">
        <v>77351</v>
      </c>
      <c r="AI37" s="171">
        <v>20.100000000000001</v>
      </c>
      <c r="AJ37" s="138">
        <v>48817</v>
      </c>
      <c r="AK37" s="171">
        <v>30</v>
      </c>
      <c r="AL37" s="138">
        <v>306993</v>
      </c>
      <c r="AM37" s="196">
        <v>93.3</v>
      </c>
      <c r="AN37" s="171">
        <v>46.9</v>
      </c>
      <c r="AO37" s="500">
        <v>14.5</v>
      </c>
      <c r="AP37" s="499"/>
      <c r="AQ37" s="139">
        <v>236</v>
      </c>
      <c r="AR37" s="407">
        <v>2.4500000000000002</v>
      </c>
      <c r="AS37" s="174">
        <v>5724</v>
      </c>
      <c r="AT37" s="460">
        <v>59.38</v>
      </c>
      <c r="AU37" s="138">
        <v>2384</v>
      </c>
      <c r="AV37" s="461">
        <v>27.79</v>
      </c>
      <c r="AW37" s="174">
        <v>1000</v>
      </c>
      <c r="AX37" s="460">
        <v>10.37</v>
      </c>
      <c r="AY37" s="138">
        <v>53</v>
      </c>
      <c r="AZ37" s="174">
        <v>5356</v>
      </c>
      <c r="BA37" s="174">
        <v>2034</v>
      </c>
      <c r="BB37" s="174">
        <v>4484</v>
      </c>
      <c r="BC37" s="176">
        <v>1733</v>
      </c>
      <c r="BD37" s="139">
        <v>15</v>
      </c>
      <c r="BE37" s="174">
        <v>1262</v>
      </c>
      <c r="BF37" s="174">
        <v>700</v>
      </c>
      <c r="BG37" s="174">
        <v>1193</v>
      </c>
      <c r="BH37" s="174">
        <v>624</v>
      </c>
      <c r="BI37" s="138" t="s">
        <v>143</v>
      </c>
      <c r="BJ37" s="174" t="s">
        <v>143</v>
      </c>
      <c r="BK37" s="174" t="s">
        <v>143</v>
      </c>
      <c r="BL37" s="174" t="s">
        <v>143</v>
      </c>
      <c r="BM37" s="174" t="s">
        <v>143</v>
      </c>
      <c r="BN37" s="174" t="s">
        <v>143</v>
      </c>
      <c r="BO37" s="176" t="s">
        <v>143</v>
      </c>
      <c r="BP37" s="139">
        <v>2</v>
      </c>
      <c r="BQ37" s="174">
        <v>148</v>
      </c>
      <c r="BR37" s="174">
        <v>39</v>
      </c>
      <c r="BS37" s="174">
        <v>32</v>
      </c>
      <c r="BT37" s="174">
        <v>143</v>
      </c>
      <c r="BU37" s="174">
        <v>47</v>
      </c>
      <c r="BV37" s="176">
        <v>27</v>
      </c>
      <c r="BW37" s="139">
        <v>17</v>
      </c>
      <c r="BX37" s="462">
        <v>378</v>
      </c>
      <c r="BY37" s="174">
        <v>286</v>
      </c>
      <c r="BZ37" s="138" t="s">
        <v>143</v>
      </c>
      <c r="CA37" s="185">
        <v>25</v>
      </c>
      <c r="CB37" s="185">
        <v>8</v>
      </c>
      <c r="CC37" s="415"/>
      <c r="CD37" s="139">
        <v>16</v>
      </c>
      <c r="CE37" s="138">
        <v>2</v>
      </c>
      <c r="CF37" s="463">
        <v>3601</v>
      </c>
      <c r="CG37" s="138">
        <v>732</v>
      </c>
      <c r="CH37" s="464">
        <v>935.8</v>
      </c>
      <c r="CI37" s="138">
        <v>256</v>
      </c>
      <c r="CJ37" s="176">
        <v>181</v>
      </c>
      <c r="CK37" s="139">
        <v>786</v>
      </c>
      <c r="CL37" s="171">
        <v>204.3</v>
      </c>
      <c r="CM37" s="138">
        <v>263</v>
      </c>
      <c r="CN37" s="180">
        <v>68.3</v>
      </c>
      <c r="CO37" s="404"/>
      <c r="CP37" s="465">
        <v>246</v>
      </c>
      <c r="CQ37" s="465">
        <v>79</v>
      </c>
      <c r="CR37" s="465">
        <v>13120</v>
      </c>
      <c r="CS37" s="465">
        <v>3145</v>
      </c>
      <c r="CT37" s="465">
        <v>3606</v>
      </c>
    </row>
    <row r="38" spans="1:98" ht="15.75" customHeight="1" x14ac:dyDescent="0.2">
      <c r="A38" s="121" t="s">
        <v>185</v>
      </c>
      <c r="B38" s="186">
        <v>2277</v>
      </c>
      <c r="C38" s="192">
        <v>5.36</v>
      </c>
      <c r="D38" s="163">
        <v>1722</v>
      </c>
      <c r="E38" s="396"/>
      <c r="F38" s="193">
        <v>1</v>
      </c>
      <c r="G38" s="438">
        <v>50</v>
      </c>
      <c r="H38" s="438">
        <v>14</v>
      </c>
      <c r="I38" s="438">
        <v>1091</v>
      </c>
      <c r="J38" s="438">
        <v>12</v>
      </c>
      <c r="K38" s="438">
        <v>348</v>
      </c>
      <c r="L38" s="438" t="s">
        <v>143</v>
      </c>
      <c r="M38" s="438" t="s">
        <v>143</v>
      </c>
      <c r="N38" s="467">
        <v>31</v>
      </c>
      <c r="O38" s="202">
        <v>1097</v>
      </c>
      <c r="P38" s="404">
        <v>817</v>
      </c>
      <c r="Q38" s="438">
        <v>2</v>
      </c>
      <c r="R38" s="467">
        <v>100</v>
      </c>
      <c r="S38" s="438">
        <v>3</v>
      </c>
      <c r="T38" s="438">
        <v>8</v>
      </c>
      <c r="U38" s="467">
        <v>674</v>
      </c>
      <c r="V38" s="438">
        <v>2</v>
      </c>
      <c r="W38" s="467">
        <v>63</v>
      </c>
      <c r="X38" s="438">
        <v>0</v>
      </c>
      <c r="Y38" s="467">
        <v>0</v>
      </c>
      <c r="Z38" s="202">
        <v>1</v>
      </c>
      <c r="AA38" s="402"/>
      <c r="AB38" s="1036">
        <v>97819</v>
      </c>
      <c r="AC38" s="1032">
        <v>14539</v>
      </c>
      <c r="AD38" s="1032">
        <v>20921866328</v>
      </c>
      <c r="AE38" s="161">
        <v>99.4</v>
      </c>
      <c r="AF38" s="202">
        <v>28</v>
      </c>
      <c r="AG38" s="404"/>
      <c r="AH38" s="186">
        <v>76206</v>
      </c>
      <c r="AI38" s="162">
        <v>17.97</v>
      </c>
      <c r="AJ38" s="163">
        <v>47554</v>
      </c>
      <c r="AK38" s="162">
        <v>26.05</v>
      </c>
      <c r="AL38" s="163">
        <v>358667</v>
      </c>
      <c r="AM38" s="200">
        <v>95.78</v>
      </c>
      <c r="AN38" s="162">
        <v>39</v>
      </c>
      <c r="AO38" s="468">
        <v>10.4</v>
      </c>
      <c r="AP38" s="406"/>
      <c r="AQ38" s="186">
        <v>2982</v>
      </c>
      <c r="AR38" s="439">
        <v>26.5</v>
      </c>
      <c r="AS38" s="190">
        <v>6151</v>
      </c>
      <c r="AT38" s="440">
        <v>54.7</v>
      </c>
      <c r="AU38" s="163">
        <v>2214</v>
      </c>
      <c r="AV38" s="441">
        <v>21.5</v>
      </c>
      <c r="AW38" s="190">
        <v>463</v>
      </c>
      <c r="AX38" s="440">
        <v>4.0999999999999996</v>
      </c>
      <c r="AY38" s="163">
        <v>53</v>
      </c>
      <c r="AZ38" s="190">
        <v>6161</v>
      </c>
      <c r="BA38" s="190">
        <v>1182</v>
      </c>
      <c r="BB38" s="190">
        <v>2905</v>
      </c>
      <c r="BC38" s="159">
        <v>862</v>
      </c>
      <c r="BD38" s="186">
        <v>10</v>
      </c>
      <c r="BE38" s="190">
        <v>1092</v>
      </c>
      <c r="BF38" s="190">
        <v>532</v>
      </c>
      <c r="BG38" s="190">
        <v>746</v>
      </c>
      <c r="BH38" s="190">
        <v>369</v>
      </c>
      <c r="BI38" s="163">
        <v>0</v>
      </c>
      <c r="BJ38" s="190">
        <v>0</v>
      </c>
      <c r="BK38" s="190">
        <v>0</v>
      </c>
      <c r="BL38" s="190">
        <v>0</v>
      </c>
      <c r="BM38" s="190">
        <v>0</v>
      </c>
      <c r="BN38" s="190">
        <v>0</v>
      </c>
      <c r="BO38" s="159">
        <v>0</v>
      </c>
      <c r="BP38" s="186">
        <v>21</v>
      </c>
      <c r="BQ38" s="190">
        <v>1692</v>
      </c>
      <c r="BR38" s="190">
        <v>2007</v>
      </c>
      <c r="BS38" s="190">
        <v>847</v>
      </c>
      <c r="BT38" s="190">
        <v>1526</v>
      </c>
      <c r="BU38" s="190">
        <v>1926</v>
      </c>
      <c r="BV38" s="159">
        <v>675</v>
      </c>
      <c r="BW38" s="186">
        <v>4</v>
      </c>
      <c r="BX38" s="415">
        <v>93</v>
      </c>
      <c r="BY38" s="190">
        <v>69</v>
      </c>
      <c r="BZ38" s="163">
        <v>0</v>
      </c>
      <c r="CA38" s="195">
        <v>0</v>
      </c>
      <c r="CB38" s="195">
        <v>16</v>
      </c>
      <c r="CC38" s="415"/>
      <c r="CD38" s="186">
        <v>18</v>
      </c>
      <c r="CE38" s="163">
        <v>0</v>
      </c>
      <c r="CF38" s="469">
        <v>3182</v>
      </c>
      <c r="CG38" s="163">
        <v>0</v>
      </c>
      <c r="CH38" s="442">
        <v>773.7</v>
      </c>
      <c r="CI38" s="163">
        <v>228</v>
      </c>
      <c r="CJ38" s="159">
        <v>149</v>
      </c>
      <c r="CK38" s="186">
        <v>749</v>
      </c>
      <c r="CL38" s="162">
        <v>176.6</v>
      </c>
      <c r="CM38" s="163">
        <v>263</v>
      </c>
      <c r="CN38" s="164">
        <v>62</v>
      </c>
      <c r="CO38" s="404"/>
      <c r="CP38" s="443">
        <v>227</v>
      </c>
      <c r="CQ38" s="443">
        <v>71</v>
      </c>
      <c r="CR38" s="443">
        <v>12841</v>
      </c>
      <c r="CS38" s="443">
        <v>3367</v>
      </c>
      <c r="CT38" s="443">
        <v>3333</v>
      </c>
    </row>
    <row r="39" spans="1:98" ht="15.75" customHeight="1" x14ac:dyDescent="0.2">
      <c r="A39" s="169" t="s">
        <v>186</v>
      </c>
      <c r="B39" s="139">
        <v>3923</v>
      </c>
      <c r="C39" s="179">
        <v>11.39</v>
      </c>
      <c r="D39" s="138">
        <v>3021</v>
      </c>
      <c r="E39" s="396"/>
      <c r="F39" s="183">
        <v>2</v>
      </c>
      <c r="G39" s="456">
        <v>165</v>
      </c>
      <c r="H39" s="456">
        <v>15</v>
      </c>
      <c r="I39" s="456">
        <v>1274</v>
      </c>
      <c r="J39" s="456">
        <v>2</v>
      </c>
      <c r="K39" s="456">
        <v>58</v>
      </c>
      <c r="L39" s="456" t="s">
        <v>143</v>
      </c>
      <c r="M39" s="456" t="s">
        <v>143</v>
      </c>
      <c r="N39" s="457">
        <v>18</v>
      </c>
      <c r="O39" s="197">
        <v>1320</v>
      </c>
      <c r="P39" s="458">
        <f>300+140+128+167+65+10+115+136</f>
        <v>1061</v>
      </c>
      <c r="Q39" s="456">
        <v>4</v>
      </c>
      <c r="R39" s="457">
        <v>130</v>
      </c>
      <c r="S39" s="456">
        <v>5</v>
      </c>
      <c r="T39" s="456">
        <v>7</v>
      </c>
      <c r="U39" s="457">
        <v>449</v>
      </c>
      <c r="V39" s="456">
        <v>0</v>
      </c>
      <c r="W39" s="457">
        <v>0</v>
      </c>
      <c r="X39" s="456">
        <v>1</v>
      </c>
      <c r="Y39" s="457">
        <v>27</v>
      </c>
      <c r="Z39" s="197">
        <v>5</v>
      </c>
      <c r="AA39" s="402"/>
      <c r="AB39" s="183">
        <v>91142</v>
      </c>
      <c r="AC39" s="456">
        <v>17137</v>
      </c>
      <c r="AD39" s="456">
        <v>24776401448</v>
      </c>
      <c r="AE39" s="178">
        <v>97.61</v>
      </c>
      <c r="AF39" s="197">
        <v>10</v>
      </c>
      <c r="AG39" s="404"/>
      <c r="AH39" s="139">
        <v>67231</v>
      </c>
      <c r="AI39" s="171">
        <v>19.559999999999999</v>
      </c>
      <c r="AJ39" s="138">
        <v>43059</v>
      </c>
      <c r="AK39" s="171">
        <v>28.57</v>
      </c>
      <c r="AL39" s="138">
        <f>26801983835/67231</f>
        <v>398655.14175008552</v>
      </c>
      <c r="AM39" s="196">
        <v>94.48</v>
      </c>
      <c r="AN39" s="171">
        <v>37.9</v>
      </c>
      <c r="AO39" s="459">
        <v>19.3</v>
      </c>
      <c r="AP39" s="406"/>
      <c r="AQ39" s="139">
        <v>556</v>
      </c>
      <c r="AR39" s="407">
        <v>6.3</v>
      </c>
      <c r="AS39" s="174">
        <v>5151</v>
      </c>
      <c r="AT39" s="460">
        <v>55.9</v>
      </c>
      <c r="AU39" s="138">
        <v>3380</v>
      </c>
      <c r="AV39" s="461">
        <v>41.6</v>
      </c>
      <c r="AW39" s="174">
        <v>766</v>
      </c>
      <c r="AX39" s="460">
        <v>8.3000000000000007</v>
      </c>
      <c r="AY39" s="138">
        <v>14</v>
      </c>
      <c r="AZ39" s="174">
        <v>967</v>
      </c>
      <c r="BA39" s="174">
        <v>603</v>
      </c>
      <c r="BB39" s="174">
        <v>920</v>
      </c>
      <c r="BC39" s="176">
        <v>365</v>
      </c>
      <c r="BD39" s="139">
        <v>53</v>
      </c>
      <c r="BE39" s="174">
        <v>2824</v>
      </c>
      <c r="BF39" s="174">
        <v>1957</v>
      </c>
      <c r="BG39" s="174">
        <v>2875</v>
      </c>
      <c r="BH39" s="174">
        <v>1880</v>
      </c>
      <c r="BI39" s="138" t="s">
        <v>143</v>
      </c>
      <c r="BJ39" s="174" t="s">
        <v>143</v>
      </c>
      <c r="BK39" s="174" t="s">
        <v>143</v>
      </c>
      <c r="BL39" s="174" t="s">
        <v>143</v>
      </c>
      <c r="BM39" s="174" t="s">
        <v>143</v>
      </c>
      <c r="BN39" s="174" t="s">
        <v>143</v>
      </c>
      <c r="BO39" s="176" t="s">
        <v>143</v>
      </c>
      <c r="BP39" s="139">
        <v>20</v>
      </c>
      <c r="BQ39" s="174">
        <v>684</v>
      </c>
      <c r="BR39" s="174">
        <v>1251</v>
      </c>
      <c r="BS39" s="174">
        <v>820</v>
      </c>
      <c r="BT39" s="174">
        <v>556</v>
      </c>
      <c r="BU39" s="174">
        <v>1356</v>
      </c>
      <c r="BV39" s="176">
        <v>781</v>
      </c>
      <c r="BW39" s="139">
        <v>39</v>
      </c>
      <c r="BX39" s="462">
        <v>475</v>
      </c>
      <c r="BY39" s="174">
        <v>354</v>
      </c>
      <c r="BZ39" s="138">
        <v>4</v>
      </c>
      <c r="CA39" s="185">
        <v>7</v>
      </c>
      <c r="CB39" s="185">
        <v>7</v>
      </c>
      <c r="CC39" s="415"/>
      <c r="CD39" s="139">
        <v>15</v>
      </c>
      <c r="CE39" s="138" t="s">
        <v>143</v>
      </c>
      <c r="CF39" s="463">
        <v>4100</v>
      </c>
      <c r="CG39" s="138" t="s">
        <v>143</v>
      </c>
      <c r="CH39" s="464">
        <v>1193.4000000000001</v>
      </c>
      <c r="CI39" s="138">
        <v>297</v>
      </c>
      <c r="CJ39" s="176">
        <v>142</v>
      </c>
      <c r="CK39" s="139">
        <v>1250</v>
      </c>
      <c r="CL39" s="171">
        <v>363.8</v>
      </c>
      <c r="CM39" s="138">
        <v>211</v>
      </c>
      <c r="CN39" s="180">
        <v>61.4</v>
      </c>
      <c r="CO39" s="404"/>
      <c r="CP39" s="465">
        <v>308</v>
      </c>
      <c r="CQ39" s="465">
        <v>48</v>
      </c>
      <c r="CR39" s="465">
        <v>15539</v>
      </c>
      <c r="CS39" s="465">
        <v>3191</v>
      </c>
      <c r="CT39" s="465">
        <v>2801</v>
      </c>
    </row>
    <row r="40" spans="1:98" ht="15.75" customHeight="1" x14ac:dyDescent="0.2">
      <c r="A40" s="121" t="s">
        <v>187</v>
      </c>
      <c r="B40" s="186">
        <v>9827</v>
      </c>
      <c r="C40" s="192">
        <v>24.48</v>
      </c>
      <c r="D40" s="163">
        <v>7575</v>
      </c>
      <c r="E40" s="396"/>
      <c r="F40" s="193">
        <v>1</v>
      </c>
      <c r="G40" s="438">
        <v>70</v>
      </c>
      <c r="H40" s="438">
        <v>14</v>
      </c>
      <c r="I40" s="438">
        <v>1160</v>
      </c>
      <c r="J40" s="438">
        <v>9</v>
      </c>
      <c r="K40" s="438">
        <v>261</v>
      </c>
      <c r="L40" s="438">
        <v>0</v>
      </c>
      <c r="M40" s="438">
        <v>0</v>
      </c>
      <c r="N40" s="467">
        <v>43</v>
      </c>
      <c r="O40" s="202">
        <v>2424</v>
      </c>
      <c r="P40" s="404">
        <v>1362</v>
      </c>
      <c r="Q40" s="438">
        <v>3</v>
      </c>
      <c r="R40" s="467">
        <v>220</v>
      </c>
      <c r="S40" s="438">
        <v>0</v>
      </c>
      <c r="T40" s="438">
        <v>10</v>
      </c>
      <c r="U40" s="467">
        <v>809</v>
      </c>
      <c r="V40" s="438">
        <v>0</v>
      </c>
      <c r="W40" s="467">
        <v>0</v>
      </c>
      <c r="X40" s="438">
        <v>0</v>
      </c>
      <c r="Y40" s="467">
        <v>0</v>
      </c>
      <c r="Z40" s="202">
        <v>10</v>
      </c>
      <c r="AA40" s="402"/>
      <c r="AB40" s="193">
        <v>104969</v>
      </c>
      <c r="AC40" s="438">
        <v>23788</v>
      </c>
      <c r="AD40" s="438">
        <v>31886344828</v>
      </c>
      <c r="AE40" s="161">
        <v>97</v>
      </c>
      <c r="AF40" s="202">
        <v>14</v>
      </c>
      <c r="AG40" s="404"/>
      <c r="AH40" s="186">
        <v>78695</v>
      </c>
      <c r="AI40" s="162">
        <v>19.3</v>
      </c>
      <c r="AJ40" s="163">
        <v>51949</v>
      </c>
      <c r="AK40" s="162">
        <v>26.9</v>
      </c>
      <c r="AL40" s="163">
        <v>402158</v>
      </c>
      <c r="AM40" s="200">
        <v>92.4</v>
      </c>
      <c r="AN40" s="162">
        <v>27.8</v>
      </c>
      <c r="AO40" s="468">
        <v>25.8</v>
      </c>
      <c r="AP40" s="406"/>
      <c r="AQ40" s="186">
        <v>3846</v>
      </c>
      <c r="AR40" s="439">
        <v>34.299999999999997</v>
      </c>
      <c r="AS40" s="190">
        <v>4683</v>
      </c>
      <c r="AT40" s="440">
        <v>41.7</v>
      </c>
      <c r="AU40" s="163">
        <v>3472</v>
      </c>
      <c r="AV40" s="441">
        <v>32.9</v>
      </c>
      <c r="AW40" s="190">
        <v>1070</v>
      </c>
      <c r="AX40" s="440">
        <v>9.5299999999999994</v>
      </c>
      <c r="AY40" s="163" t="s">
        <v>143</v>
      </c>
      <c r="AZ40" s="190" t="s">
        <v>143</v>
      </c>
      <c r="BA40" s="190" t="s">
        <v>143</v>
      </c>
      <c r="BB40" s="190" t="s">
        <v>143</v>
      </c>
      <c r="BC40" s="159" t="s">
        <v>143</v>
      </c>
      <c r="BD40" s="186">
        <v>48</v>
      </c>
      <c r="BE40" s="190">
        <v>991</v>
      </c>
      <c r="BF40" s="190">
        <v>1769</v>
      </c>
      <c r="BG40" s="190">
        <v>1067</v>
      </c>
      <c r="BH40" s="190">
        <v>1637</v>
      </c>
      <c r="BI40" s="163">
        <v>26</v>
      </c>
      <c r="BJ40" s="190">
        <v>525</v>
      </c>
      <c r="BK40" s="190">
        <v>2076</v>
      </c>
      <c r="BL40" s="190">
        <v>794</v>
      </c>
      <c r="BM40" s="190">
        <v>286</v>
      </c>
      <c r="BN40" s="190">
        <v>2078</v>
      </c>
      <c r="BO40" s="159">
        <v>741</v>
      </c>
      <c r="BP40" s="186">
        <v>25</v>
      </c>
      <c r="BQ40" s="190">
        <v>2750</v>
      </c>
      <c r="BR40" s="190">
        <v>1463</v>
      </c>
      <c r="BS40" s="190">
        <v>781</v>
      </c>
      <c r="BT40" s="190">
        <v>2382</v>
      </c>
      <c r="BU40" s="190">
        <v>1533</v>
      </c>
      <c r="BV40" s="159">
        <v>753</v>
      </c>
      <c r="BW40" s="186">
        <v>17</v>
      </c>
      <c r="BX40" s="415">
        <v>292</v>
      </c>
      <c r="BY40" s="190">
        <v>39</v>
      </c>
      <c r="BZ40" s="163">
        <v>0</v>
      </c>
      <c r="CA40" s="195">
        <v>2</v>
      </c>
      <c r="CB40" s="195">
        <v>18</v>
      </c>
      <c r="CC40" s="415"/>
      <c r="CD40" s="186">
        <v>19</v>
      </c>
      <c r="CE40" s="163">
        <v>1</v>
      </c>
      <c r="CF40" s="469">
        <v>4070</v>
      </c>
      <c r="CG40" s="163">
        <v>613</v>
      </c>
      <c r="CH40" s="442">
        <v>996.3</v>
      </c>
      <c r="CI40" s="163">
        <v>416</v>
      </c>
      <c r="CJ40" s="159">
        <v>248</v>
      </c>
      <c r="CK40" s="186">
        <v>869</v>
      </c>
      <c r="CL40" s="162">
        <v>212.7</v>
      </c>
      <c r="CM40" s="163">
        <v>348</v>
      </c>
      <c r="CN40" s="164">
        <v>85.2</v>
      </c>
      <c r="CO40" s="404"/>
      <c r="CP40" s="443">
        <v>267</v>
      </c>
      <c r="CQ40" s="443">
        <v>122</v>
      </c>
      <c r="CR40" s="443">
        <v>13725</v>
      </c>
      <c r="CS40" s="443">
        <v>3368</v>
      </c>
      <c r="CT40" s="443">
        <v>3987</v>
      </c>
    </row>
    <row r="41" spans="1:98" ht="15.75" customHeight="1" x14ac:dyDescent="0.2">
      <c r="A41" s="169" t="s">
        <v>188</v>
      </c>
      <c r="B41" s="139">
        <v>5611</v>
      </c>
      <c r="C41" s="179">
        <v>14.66</v>
      </c>
      <c r="D41" s="138">
        <v>4269</v>
      </c>
      <c r="E41" s="396"/>
      <c r="F41" s="183" t="s">
        <v>143</v>
      </c>
      <c r="G41" s="456" t="s">
        <v>143</v>
      </c>
      <c r="H41" s="456">
        <v>17</v>
      </c>
      <c r="I41" s="456">
        <v>1500</v>
      </c>
      <c r="J41" s="456">
        <v>6</v>
      </c>
      <c r="K41" s="456">
        <v>174</v>
      </c>
      <c r="L41" s="456" t="s">
        <v>143</v>
      </c>
      <c r="M41" s="456" t="s">
        <v>143</v>
      </c>
      <c r="N41" s="456">
        <v>27</v>
      </c>
      <c r="O41" s="501">
        <v>1480</v>
      </c>
      <c r="P41" s="458">
        <v>942</v>
      </c>
      <c r="Q41" s="456">
        <v>3</v>
      </c>
      <c r="R41" s="457">
        <v>116</v>
      </c>
      <c r="S41" s="456">
        <v>1</v>
      </c>
      <c r="T41" s="456">
        <v>7</v>
      </c>
      <c r="U41" s="457">
        <v>818</v>
      </c>
      <c r="V41" s="456" t="s">
        <v>143</v>
      </c>
      <c r="W41" s="457" t="s">
        <v>143</v>
      </c>
      <c r="X41" s="456" t="s">
        <v>143</v>
      </c>
      <c r="Y41" s="457" t="s">
        <v>143</v>
      </c>
      <c r="Z41" s="197">
        <v>1</v>
      </c>
      <c r="AA41" s="402"/>
      <c r="AB41" s="183">
        <v>89499</v>
      </c>
      <c r="AC41" s="456">
        <v>16917</v>
      </c>
      <c r="AD41" s="456">
        <v>23985755265</v>
      </c>
      <c r="AE41" s="178">
        <v>97.25</v>
      </c>
      <c r="AF41" s="197">
        <v>16</v>
      </c>
      <c r="AG41" s="404"/>
      <c r="AH41" s="139">
        <v>65916</v>
      </c>
      <c r="AI41" s="171">
        <v>17.600000000000001</v>
      </c>
      <c r="AJ41" s="138">
        <v>43274</v>
      </c>
      <c r="AK41" s="171">
        <v>24.8</v>
      </c>
      <c r="AL41" s="138">
        <v>408550</v>
      </c>
      <c r="AM41" s="196">
        <v>91.8</v>
      </c>
      <c r="AN41" s="171">
        <v>44.5</v>
      </c>
      <c r="AO41" s="459">
        <v>33.799999999999997</v>
      </c>
      <c r="AP41" s="406"/>
      <c r="AQ41" s="139">
        <v>1728</v>
      </c>
      <c r="AR41" s="407">
        <v>8</v>
      </c>
      <c r="AS41" s="174">
        <v>4257</v>
      </c>
      <c r="AT41" s="460">
        <v>38.4</v>
      </c>
      <c r="AU41" s="138">
        <v>3309</v>
      </c>
      <c r="AV41" s="461">
        <v>33.9</v>
      </c>
      <c r="AW41" s="174">
        <v>1125</v>
      </c>
      <c r="AX41" s="460">
        <v>10.1</v>
      </c>
      <c r="AY41" s="138">
        <v>13</v>
      </c>
      <c r="AZ41" s="174">
        <v>986</v>
      </c>
      <c r="BA41" s="174">
        <v>512</v>
      </c>
      <c r="BB41" s="174">
        <v>998</v>
      </c>
      <c r="BC41" s="176">
        <v>571</v>
      </c>
      <c r="BD41" s="139">
        <v>33</v>
      </c>
      <c r="BE41" s="174">
        <v>1893</v>
      </c>
      <c r="BF41" s="174">
        <v>1313</v>
      </c>
      <c r="BG41" s="174">
        <v>1948</v>
      </c>
      <c r="BH41" s="174">
        <v>1392</v>
      </c>
      <c r="BI41" s="138">
        <v>9</v>
      </c>
      <c r="BJ41" s="174">
        <v>380</v>
      </c>
      <c r="BK41" s="174">
        <v>441</v>
      </c>
      <c r="BL41" s="174">
        <v>39</v>
      </c>
      <c r="BM41" s="174">
        <v>342</v>
      </c>
      <c r="BN41" s="174">
        <v>424</v>
      </c>
      <c r="BO41" s="176">
        <v>52</v>
      </c>
      <c r="BP41" s="139">
        <v>11</v>
      </c>
      <c r="BQ41" s="174">
        <v>336</v>
      </c>
      <c r="BR41" s="174">
        <v>866</v>
      </c>
      <c r="BS41" s="174">
        <v>580</v>
      </c>
      <c r="BT41" s="174">
        <v>229</v>
      </c>
      <c r="BU41" s="174">
        <v>887</v>
      </c>
      <c r="BV41" s="176">
        <v>582</v>
      </c>
      <c r="BW41" s="139">
        <v>44</v>
      </c>
      <c r="BX41" s="462">
        <v>740</v>
      </c>
      <c r="BY41" s="174">
        <v>712</v>
      </c>
      <c r="BZ41" s="138">
        <v>16</v>
      </c>
      <c r="CA41" s="185">
        <v>11</v>
      </c>
      <c r="CB41" s="185">
        <v>15</v>
      </c>
      <c r="CC41" s="415"/>
      <c r="CD41" s="139">
        <v>15</v>
      </c>
      <c r="CE41" s="138">
        <v>1</v>
      </c>
      <c r="CF41" s="463">
        <v>4665</v>
      </c>
      <c r="CG41" s="138">
        <v>431</v>
      </c>
      <c r="CH41" s="464">
        <v>1247.3</v>
      </c>
      <c r="CI41" s="138">
        <v>344</v>
      </c>
      <c r="CJ41" s="176">
        <v>201</v>
      </c>
      <c r="CK41" s="139">
        <v>2425</v>
      </c>
      <c r="CL41" s="171">
        <v>637.1</v>
      </c>
      <c r="CM41" s="138">
        <v>667</v>
      </c>
      <c r="CN41" s="180">
        <v>175.2</v>
      </c>
      <c r="CO41" s="404"/>
      <c r="CP41" s="465">
        <v>422</v>
      </c>
      <c r="CQ41" s="465">
        <v>117</v>
      </c>
      <c r="CR41" s="465">
        <v>14479</v>
      </c>
      <c r="CS41" s="465">
        <v>3378</v>
      </c>
      <c r="CT41" s="465">
        <v>3024</v>
      </c>
    </row>
    <row r="42" spans="1:98" ht="15.75" customHeight="1" x14ac:dyDescent="0.2">
      <c r="A42" s="121" t="s">
        <v>190</v>
      </c>
      <c r="B42" s="186">
        <v>5783</v>
      </c>
      <c r="C42" s="192">
        <v>16.46</v>
      </c>
      <c r="D42" s="163">
        <v>4254</v>
      </c>
      <c r="E42" s="396"/>
      <c r="F42" s="193">
        <v>2</v>
      </c>
      <c r="G42" s="438">
        <v>100</v>
      </c>
      <c r="H42" s="438">
        <v>15</v>
      </c>
      <c r="I42" s="438">
        <v>1265</v>
      </c>
      <c r="J42" s="438">
        <v>8</v>
      </c>
      <c r="K42" s="438">
        <v>232</v>
      </c>
      <c r="L42" s="438" t="s">
        <v>143</v>
      </c>
      <c r="M42" s="438" t="s">
        <v>143</v>
      </c>
      <c r="N42" s="467">
        <v>8</v>
      </c>
      <c r="O42" s="202">
        <v>706</v>
      </c>
      <c r="P42" s="404">
        <v>842</v>
      </c>
      <c r="Q42" s="438">
        <v>10</v>
      </c>
      <c r="R42" s="467">
        <v>390</v>
      </c>
      <c r="S42" s="438">
        <v>5</v>
      </c>
      <c r="T42" s="438">
        <v>8</v>
      </c>
      <c r="U42" s="467">
        <v>742</v>
      </c>
      <c r="V42" s="438" t="s">
        <v>143</v>
      </c>
      <c r="W42" s="467" t="s">
        <v>143</v>
      </c>
      <c r="X42" s="438" t="s">
        <v>143</v>
      </c>
      <c r="Y42" s="467" t="s">
        <v>143</v>
      </c>
      <c r="Z42" s="202" t="s">
        <v>143</v>
      </c>
      <c r="AA42" s="402"/>
      <c r="AB42" s="193">
        <v>102621</v>
      </c>
      <c r="AC42" s="438">
        <v>18003</v>
      </c>
      <c r="AD42" s="438">
        <v>23737174351</v>
      </c>
      <c r="AE42" s="161">
        <v>98</v>
      </c>
      <c r="AF42" s="202">
        <v>12</v>
      </c>
      <c r="AG42" s="404"/>
      <c r="AH42" s="186">
        <v>70091</v>
      </c>
      <c r="AI42" s="162">
        <v>19.968</v>
      </c>
      <c r="AJ42" s="163">
        <v>45398</v>
      </c>
      <c r="AK42" s="162">
        <v>28.152000000000001</v>
      </c>
      <c r="AL42" s="163">
        <v>428181</v>
      </c>
      <c r="AM42" s="200">
        <v>94.4</v>
      </c>
      <c r="AN42" s="162">
        <v>39.700000000000003</v>
      </c>
      <c r="AO42" s="468">
        <v>18.600000000000001</v>
      </c>
      <c r="AP42" s="406"/>
      <c r="AQ42" s="1061">
        <v>1870</v>
      </c>
      <c r="AR42" s="1062">
        <v>22.119706647740713</v>
      </c>
      <c r="AS42" s="1063">
        <v>4963</v>
      </c>
      <c r="AT42" s="1064">
        <v>58.705938017506512</v>
      </c>
      <c r="AU42" s="1065">
        <v>3713</v>
      </c>
      <c r="AV42" s="1066">
        <v>48.227042473048449</v>
      </c>
      <c r="AW42" s="1063">
        <v>843</v>
      </c>
      <c r="AX42" s="1064">
        <v>9.9716110716820445</v>
      </c>
      <c r="AY42" s="504">
        <v>9</v>
      </c>
      <c r="AZ42" s="503">
        <v>654</v>
      </c>
      <c r="BA42" s="503">
        <v>326</v>
      </c>
      <c r="BB42" s="503">
        <v>721</v>
      </c>
      <c r="BC42" s="505">
        <v>384</v>
      </c>
      <c r="BD42" s="1061">
        <v>18</v>
      </c>
      <c r="BE42" s="503">
        <v>1121</v>
      </c>
      <c r="BF42" s="503">
        <v>650</v>
      </c>
      <c r="BG42" s="503">
        <v>1108</v>
      </c>
      <c r="BH42" s="503">
        <v>652</v>
      </c>
      <c r="BI42" s="504">
        <v>4</v>
      </c>
      <c r="BJ42" s="503">
        <v>249</v>
      </c>
      <c r="BK42" s="503">
        <v>228</v>
      </c>
      <c r="BL42" s="503">
        <v>93</v>
      </c>
      <c r="BM42" s="503">
        <v>208</v>
      </c>
      <c r="BN42" s="503">
        <v>204</v>
      </c>
      <c r="BO42" s="505">
        <v>101</v>
      </c>
      <c r="BP42" s="502">
        <v>26</v>
      </c>
      <c r="BQ42" s="503">
        <v>1277</v>
      </c>
      <c r="BR42" s="503">
        <v>1607</v>
      </c>
      <c r="BS42" s="503">
        <v>988</v>
      </c>
      <c r="BT42" s="503">
        <v>1021</v>
      </c>
      <c r="BU42" s="503">
        <v>1707</v>
      </c>
      <c r="BV42" s="505">
        <v>1082</v>
      </c>
      <c r="BW42" s="502">
        <v>46</v>
      </c>
      <c r="BX42" s="506">
        <v>768</v>
      </c>
      <c r="BY42" s="503">
        <v>691</v>
      </c>
      <c r="BZ42" s="504">
        <v>0</v>
      </c>
      <c r="CA42" s="195">
        <v>1</v>
      </c>
      <c r="CB42" s="195">
        <v>17</v>
      </c>
      <c r="CC42" s="415"/>
      <c r="CD42" s="186">
        <v>19</v>
      </c>
      <c r="CE42" s="163">
        <v>0</v>
      </c>
      <c r="CF42" s="469">
        <v>4427</v>
      </c>
      <c r="CG42" s="163">
        <v>0</v>
      </c>
      <c r="CH42" s="442">
        <v>1261.1852919642527</v>
      </c>
      <c r="CI42" s="163">
        <v>298</v>
      </c>
      <c r="CJ42" s="159">
        <v>188</v>
      </c>
      <c r="CK42" s="186">
        <v>1454</v>
      </c>
      <c r="CL42" s="162">
        <v>414.22259193946763</v>
      </c>
      <c r="CM42" s="163">
        <v>229</v>
      </c>
      <c r="CN42" s="164">
        <v>65.238633806147249</v>
      </c>
      <c r="CO42" s="404"/>
      <c r="CP42" s="443">
        <v>302</v>
      </c>
      <c r="CQ42" s="443">
        <v>84</v>
      </c>
      <c r="CR42" s="443">
        <v>12855</v>
      </c>
      <c r="CS42" s="443">
        <v>3481</v>
      </c>
      <c r="CT42" s="443">
        <v>3757</v>
      </c>
    </row>
    <row r="43" spans="1:98" ht="15.75" customHeight="1" x14ac:dyDescent="0.2">
      <c r="A43" s="169" t="s">
        <v>191</v>
      </c>
      <c r="B43" s="139">
        <v>7606</v>
      </c>
      <c r="C43" s="179">
        <v>18.989999999999998</v>
      </c>
      <c r="D43" s="138">
        <v>5720</v>
      </c>
      <c r="E43" s="396"/>
      <c r="F43" s="183">
        <v>1</v>
      </c>
      <c r="G43" s="456">
        <v>100</v>
      </c>
      <c r="H43" s="456">
        <v>17</v>
      </c>
      <c r="I43" s="456">
        <v>1183</v>
      </c>
      <c r="J43" s="456">
        <v>7</v>
      </c>
      <c r="K43" s="456">
        <v>203</v>
      </c>
      <c r="L43" s="456">
        <v>1</v>
      </c>
      <c r="M43" s="456">
        <v>50</v>
      </c>
      <c r="N43" s="457">
        <v>89</v>
      </c>
      <c r="O43" s="197">
        <v>4246</v>
      </c>
      <c r="P43" s="458">
        <v>1331</v>
      </c>
      <c r="Q43" s="456">
        <v>7</v>
      </c>
      <c r="R43" s="457">
        <v>252</v>
      </c>
      <c r="S43" s="456">
        <v>2</v>
      </c>
      <c r="T43" s="456">
        <v>9</v>
      </c>
      <c r="U43" s="457">
        <v>973</v>
      </c>
      <c r="V43" s="456">
        <v>1</v>
      </c>
      <c r="W43" s="457">
        <v>39</v>
      </c>
      <c r="X43" s="456">
        <v>1</v>
      </c>
      <c r="Y43" s="457">
        <v>10</v>
      </c>
      <c r="Z43" s="197">
        <v>0</v>
      </c>
      <c r="AA43" s="402"/>
      <c r="AB43" s="183">
        <v>112567</v>
      </c>
      <c r="AC43" s="456">
        <v>20878</v>
      </c>
      <c r="AD43" s="456">
        <v>29302737446</v>
      </c>
      <c r="AE43" s="178">
        <f>7258264631/7459465299*100</f>
        <v>97.302746779625451</v>
      </c>
      <c r="AF43" s="197">
        <v>13</v>
      </c>
      <c r="AG43" s="404"/>
      <c r="AH43" s="139">
        <v>81035</v>
      </c>
      <c r="AI43" s="171">
        <v>20.3</v>
      </c>
      <c r="AJ43" s="138">
        <v>52266</v>
      </c>
      <c r="AK43" s="171">
        <v>28.8</v>
      </c>
      <c r="AL43" s="138">
        <v>417739</v>
      </c>
      <c r="AM43" s="196">
        <v>92.65</v>
      </c>
      <c r="AN43" s="171">
        <v>33.700000000000003</v>
      </c>
      <c r="AO43" s="459">
        <v>11.1</v>
      </c>
      <c r="AP43" s="406"/>
      <c r="AQ43" s="507">
        <v>2466</v>
      </c>
      <c r="AR43" s="508">
        <v>26</v>
      </c>
      <c r="AS43" s="509">
        <v>4841</v>
      </c>
      <c r="AT43" s="510">
        <v>51</v>
      </c>
      <c r="AU43" s="511">
        <v>3754</v>
      </c>
      <c r="AV43" s="512">
        <v>45.5</v>
      </c>
      <c r="AW43" s="509">
        <v>1622</v>
      </c>
      <c r="AX43" s="510">
        <v>17.100000000000001</v>
      </c>
      <c r="AY43" s="511">
        <v>11</v>
      </c>
      <c r="AZ43" s="509">
        <v>726</v>
      </c>
      <c r="BA43" s="509">
        <v>444</v>
      </c>
      <c r="BB43" s="509">
        <v>737</v>
      </c>
      <c r="BC43" s="513">
        <v>509</v>
      </c>
      <c r="BD43" s="507">
        <v>43</v>
      </c>
      <c r="BE43" s="509">
        <v>2974</v>
      </c>
      <c r="BF43" s="509">
        <v>2351</v>
      </c>
      <c r="BG43" s="509">
        <v>3264</v>
      </c>
      <c r="BH43" s="509">
        <v>2478</v>
      </c>
      <c r="BI43" s="511" t="s">
        <v>143</v>
      </c>
      <c r="BJ43" s="509" t="s">
        <v>143</v>
      </c>
      <c r="BK43" s="509" t="s">
        <v>143</v>
      </c>
      <c r="BL43" s="509" t="s">
        <v>143</v>
      </c>
      <c r="BM43" s="509" t="s">
        <v>143</v>
      </c>
      <c r="BN43" s="509" t="s">
        <v>143</v>
      </c>
      <c r="BO43" s="513" t="s">
        <v>143</v>
      </c>
      <c r="BP43" s="507">
        <v>10</v>
      </c>
      <c r="BQ43" s="509">
        <v>2117</v>
      </c>
      <c r="BR43" s="509">
        <v>501</v>
      </c>
      <c r="BS43" s="509">
        <v>234</v>
      </c>
      <c r="BT43" s="509">
        <v>1589</v>
      </c>
      <c r="BU43" s="509">
        <v>496</v>
      </c>
      <c r="BV43" s="513">
        <v>242</v>
      </c>
      <c r="BW43" s="507">
        <v>16</v>
      </c>
      <c r="BX43" s="514">
        <v>256</v>
      </c>
      <c r="BY43" s="509">
        <v>231</v>
      </c>
      <c r="BZ43" s="511">
        <v>0</v>
      </c>
      <c r="CA43" s="185">
        <v>0</v>
      </c>
      <c r="CB43" s="185">
        <v>13</v>
      </c>
      <c r="CC43" s="415"/>
      <c r="CD43" s="139">
        <v>25</v>
      </c>
      <c r="CE43" s="138">
        <v>1</v>
      </c>
      <c r="CF43" s="463">
        <v>5530</v>
      </c>
      <c r="CG43" s="138">
        <v>335</v>
      </c>
      <c r="CH43" s="464">
        <v>1380.02</v>
      </c>
      <c r="CI43" s="138">
        <v>286</v>
      </c>
      <c r="CJ43" s="176">
        <v>211</v>
      </c>
      <c r="CK43" s="139">
        <v>1223</v>
      </c>
      <c r="CL43" s="171">
        <v>305.2</v>
      </c>
      <c r="CM43" s="138">
        <v>345</v>
      </c>
      <c r="CN43" s="180">
        <v>86.1</v>
      </c>
      <c r="CO43" s="404"/>
      <c r="CP43" s="465">
        <v>293</v>
      </c>
      <c r="CQ43" s="465">
        <v>66</v>
      </c>
      <c r="CR43" s="465">
        <v>15919</v>
      </c>
      <c r="CS43" s="465">
        <v>3554</v>
      </c>
      <c r="CT43" s="465">
        <v>4297</v>
      </c>
    </row>
    <row r="44" spans="1:98" ht="15.75" customHeight="1" x14ac:dyDescent="0.2">
      <c r="A44" s="121" t="s">
        <v>253</v>
      </c>
      <c r="B44" s="186">
        <v>7819</v>
      </c>
      <c r="C44" s="192">
        <v>29.4</v>
      </c>
      <c r="D44" s="163">
        <v>5905</v>
      </c>
      <c r="E44" s="396"/>
      <c r="F44" s="193">
        <v>1</v>
      </c>
      <c r="G44" s="438">
        <v>50</v>
      </c>
      <c r="H44" s="438">
        <v>15</v>
      </c>
      <c r="I44" s="438">
        <v>921</v>
      </c>
      <c r="J44" s="438">
        <v>8</v>
      </c>
      <c r="K44" s="438">
        <v>219</v>
      </c>
      <c r="L44" s="438">
        <v>2</v>
      </c>
      <c r="M44" s="438">
        <v>100</v>
      </c>
      <c r="N44" s="467">
        <v>76</v>
      </c>
      <c r="O44" s="202">
        <v>3030</v>
      </c>
      <c r="P44" s="404">
        <v>931</v>
      </c>
      <c r="Q44" s="438">
        <v>5</v>
      </c>
      <c r="R44" s="467">
        <v>203</v>
      </c>
      <c r="S44" s="438">
        <v>2</v>
      </c>
      <c r="T44" s="438">
        <v>5</v>
      </c>
      <c r="U44" s="467">
        <v>471</v>
      </c>
      <c r="V44" s="438">
        <v>1</v>
      </c>
      <c r="W44" s="467">
        <v>60</v>
      </c>
      <c r="X44" s="438">
        <v>1</v>
      </c>
      <c r="Y44" s="467">
        <v>36</v>
      </c>
      <c r="Z44" s="202" t="s">
        <v>143</v>
      </c>
      <c r="AA44" s="402"/>
      <c r="AB44" s="193">
        <v>75107</v>
      </c>
      <c r="AC44" s="438">
        <v>17127</v>
      </c>
      <c r="AD44" s="438">
        <v>22218878009</v>
      </c>
      <c r="AE44" s="161">
        <v>98.9</v>
      </c>
      <c r="AF44" s="202">
        <v>16</v>
      </c>
      <c r="AG44" s="404"/>
      <c r="AH44" s="186">
        <v>59056</v>
      </c>
      <c r="AI44" s="162">
        <v>22.2</v>
      </c>
      <c r="AJ44" s="163">
        <v>37528</v>
      </c>
      <c r="AK44" s="162">
        <v>29.9</v>
      </c>
      <c r="AL44" s="163">
        <v>403516</v>
      </c>
      <c r="AM44" s="200">
        <v>91.5</v>
      </c>
      <c r="AN44" s="162">
        <v>32</v>
      </c>
      <c r="AO44" s="468">
        <v>8.6999999999999993</v>
      </c>
      <c r="AP44" s="406"/>
      <c r="AQ44" s="186">
        <v>1586</v>
      </c>
      <c r="AR44" s="1055">
        <v>26.5</v>
      </c>
      <c r="AS44" s="1056">
        <v>3486</v>
      </c>
      <c r="AT44" s="1057">
        <v>56.5</v>
      </c>
      <c r="AU44" s="1058">
        <v>2691</v>
      </c>
      <c r="AV44" s="1059">
        <v>44.9</v>
      </c>
      <c r="AW44" s="1056">
        <v>853</v>
      </c>
      <c r="AX44" s="1057">
        <v>13.8</v>
      </c>
      <c r="AY44" s="163">
        <v>2</v>
      </c>
      <c r="AZ44" s="190">
        <v>135</v>
      </c>
      <c r="BA44" s="190">
        <v>75</v>
      </c>
      <c r="BB44" s="190">
        <v>120</v>
      </c>
      <c r="BC44" s="159">
        <v>73</v>
      </c>
      <c r="BD44" s="186">
        <v>10</v>
      </c>
      <c r="BE44" s="190">
        <v>223</v>
      </c>
      <c r="BF44" s="190">
        <v>462</v>
      </c>
      <c r="BG44" s="190">
        <v>477</v>
      </c>
      <c r="BH44" s="190">
        <v>256</v>
      </c>
      <c r="BI44" s="163">
        <v>5</v>
      </c>
      <c r="BJ44" s="190">
        <v>300</v>
      </c>
      <c r="BK44" s="190">
        <v>540</v>
      </c>
      <c r="BL44" s="190">
        <v>315</v>
      </c>
      <c r="BM44" s="190">
        <v>291</v>
      </c>
      <c r="BN44" s="190">
        <v>460</v>
      </c>
      <c r="BO44" s="159">
        <v>259</v>
      </c>
      <c r="BP44" s="186">
        <v>34</v>
      </c>
      <c r="BQ44" s="190">
        <v>376</v>
      </c>
      <c r="BR44" s="190">
        <v>2542</v>
      </c>
      <c r="BS44" s="190">
        <v>1603</v>
      </c>
      <c r="BT44" s="515">
        <v>1285</v>
      </c>
      <c r="BU44" s="190">
        <v>2454</v>
      </c>
      <c r="BV44" s="159">
        <v>1551</v>
      </c>
      <c r="BW44" s="186" t="s">
        <v>143</v>
      </c>
      <c r="BX44" s="415" t="s">
        <v>143</v>
      </c>
      <c r="BY44" s="190">
        <v>0</v>
      </c>
      <c r="BZ44" s="163">
        <v>0</v>
      </c>
      <c r="CA44" s="195" t="s">
        <v>143</v>
      </c>
      <c r="CB44" s="195">
        <v>21</v>
      </c>
      <c r="CC44" s="415"/>
      <c r="CD44" s="186">
        <v>11</v>
      </c>
      <c r="CE44" s="163">
        <v>1</v>
      </c>
      <c r="CF44" s="469">
        <v>2398</v>
      </c>
      <c r="CG44" s="163">
        <v>380</v>
      </c>
      <c r="CH44" s="442">
        <v>901.8156655685425</v>
      </c>
      <c r="CI44" s="163">
        <v>217</v>
      </c>
      <c r="CJ44" s="159">
        <v>140</v>
      </c>
      <c r="CK44" s="186">
        <v>537</v>
      </c>
      <c r="CL44" s="162">
        <v>201.9</v>
      </c>
      <c r="CM44" s="163">
        <v>196</v>
      </c>
      <c r="CN44" s="164">
        <v>73.7</v>
      </c>
      <c r="CO44" s="404"/>
      <c r="CP44" s="443">
        <v>402</v>
      </c>
      <c r="CQ44" s="443">
        <v>75</v>
      </c>
      <c r="CR44" s="443">
        <v>10628</v>
      </c>
      <c r="CS44" s="443">
        <v>2906</v>
      </c>
      <c r="CT44" s="443">
        <v>2927</v>
      </c>
    </row>
    <row r="45" spans="1:98" ht="15.75" customHeight="1" x14ac:dyDescent="0.2">
      <c r="A45" s="169" t="s">
        <v>193</v>
      </c>
      <c r="B45" s="139">
        <v>7205</v>
      </c>
      <c r="C45" s="179">
        <v>31.17</v>
      </c>
      <c r="D45" s="138">
        <v>5437</v>
      </c>
      <c r="E45" s="396"/>
      <c r="F45" s="183" t="s">
        <v>143</v>
      </c>
      <c r="G45" s="456" t="s">
        <v>143</v>
      </c>
      <c r="H45" s="456">
        <v>14</v>
      </c>
      <c r="I45" s="456">
        <v>895</v>
      </c>
      <c r="J45" s="456">
        <v>6</v>
      </c>
      <c r="K45" s="456">
        <v>174</v>
      </c>
      <c r="L45" s="456" t="s">
        <v>143</v>
      </c>
      <c r="M45" s="456" t="s">
        <v>143</v>
      </c>
      <c r="N45" s="457">
        <v>27</v>
      </c>
      <c r="O45" s="197">
        <v>1162</v>
      </c>
      <c r="P45" s="458">
        <v>797</v>
      </c>
      <c r="Q45" s="456">
        <v>5</v>
      </c>
      <c r="R45" s="457">
        <v>220</v>
      </c>
      <c r="S45" s="456">
        <v>4</v>
      </c>
      <c r="T45" s="456">
        <v>4</v>
      </c>
      <c r="U45" s="457">
        <v>400</v>
      </c>
      <c r="V45" s="456" t="s">
        <v>143</v>
      </c>
      <c r="W45" s="457" t="s">
        <v>143</v>
      </c>
      <c r="X45" s="456">
        <v>1</v>
      </c>
      <c r="Y45" s="457">
        <v>18</v>
      </c>
      <c r="Z45" s="197" t="s">
        <v>143</v>
      </c>
      <c r="AA45" s="402"/>
      <c r="AB45" s="183">
        <v>68807</v>
      </c>
      <c r="AC45" s="456">
        <v>12767</v>
      </c>
      <c r="AD45" s="456">
        <v>19482810708</v>
      </c>
      <c r="AE45" s="178">
        <v>98.5</v>
      </c>
      <c r="AF45" s="197">
        <v>12</v>
      </c>
      <c r="AG45" s="404"/>
      <c r="AH45" s="139">
        <v>52280</v>
      </c>
      <c r="AI45" s="171">
        <v>22.6</v>
      </c>
      <c r="AJ45" s="138">
        <v>33699</v>
      </c>
      <c r="AK45" s="171">
        <v>30.6</v>
      </c>
      <c r="AL45" s="138">
        <v>410258</v>
      </c>
      <c r="AM45" s="196">
        <v>89.43</v>
      </c>
      <c r="AN45" s="171">
        <v>36.1</v>
      </c>
      <c r="AO45" s="459">
        <v>30.4</v>
      </c>
      <c r="AP45" s="406"/>
      <c r="AQ45" s="139">
        <v>884</v>
      </c>
      <c r="AR45" s="407">
        <v>17.399999999999999</v>
      </c>
      <c r="AS45" s="174">
        <v>2650</v>
      </c>
      <c r="AT45" s="460">
        <v>52.6</v>
      </c>
      <c r="AU45" s="138">
        <v>1762</v>
      </c>
      <c r="AV45" s="461">
        <v>38.4</v>
      </c>
      <c r="AW45" s="174">
        <v>491</v>
      </c>
      <c r="AX45" s="460">
        <v>9.6</v>
      </c>
      <c r="AY45" s="138">
        <v>6</v>
      </c>
      <c r="AZ45" s="174">
        <v>512</v>
      </c>
      <c r="BA45" s="174">
        <v>238</v>
      </c>
      <c r="BB45" s="174">
        <v>429</v>
      </c>
      <c r="BC45" s="176">
        <v>266</v>
      </c>
      <c r="BD45" s="139">
        <v>18</v>
      </c>
      <c r="BE45" s="174">
        <v>1065</v>
      </c>
      <c r="BF45" s="174">
        <v>725</v>
      </c>
      <c r="BG45" s="174">
        <v>1045</v>
      </c>
      <c r="BH45" s="174">
        <v>704</v>
      </c>
      <c r="BI45" s="138" t="s">
        <v>143</v>
      </c>
      <c r="BJ45" s="174" t="s">
        <v>143</v>
      </c>
      <c r="BK45" s="174" t="s">
        <v>143</v>
      </c>
      <c r="BL45" s="174" t="s">
        <v>143</v>
      </c>
      <c r="BM45" s="174" t="s">
        <v>143</v>
      </c>
      <c r="BN45" s="174" t="s">
        <v>143</v>
      </c>
      <c r="BO45" s="176" t="s">
        <v>143</v>
      </c>
      <c r="BP45" s="139">
        <v>21</v>
      </c>
      <c r="BQ45" s="174">
        <v>838</v>
      </c>
      <c r="BR45" s="174">
        <v>1099</v>
      </c>
      <c r="BS45" s="174">
        <v>811</v>
      </c>
      <c r="BT45" s="174">
        <v>473</v>
      </c>
      <c r="BU45" s="174">
        <v>1154</v>
      </c>
      <c r="BV45" s="176">
        <v>757</v>
      </c>
      <c r="BW45" s="139">
        <v>2</v>
      </c>
      <c r="BX45" s="462">
        <v>39</v>
      </c>
      <c r="BY45" s="174">
        <v>21</v>
      </c>
      <c r="BZ45" s="138" t="s">
        <v>143</v>
      </c>
      <c r="CA45" s="185">
        <v>1</v>
      </c>
      <c r="CB45" s="185">
        <v>12</v>
      </c>
      <c r="CC45" s="415"/>
      <c r="CD45" s="139">
        <v>14</v>
      </c>
      <c r="CE45" s="138" t="s">
        <v>143</v>
      </c>
      <c r="CF45" s="463">
        <v>1959</v>
      </c>
      <c r="CG45" s="138" t="s">
        <v>143</v>
      </c>
      <c r="CH45" s="464">
        <v>847.4</v>
      </c>
      <c r="CI45" s="138">
        <v>185</v>
      </c>
      <c r="CJ45" s="176">
        <v>123</v>
      </c>
      <c r="CK45" s="139">
        <v>386</v>
      </c>
      <c r="CL45" s="171">
        <v>166.5</v>
      </c>
      <c r="CM45" s="138">
        <v>195</v>
      </c>
      <c r="CN45" s="180">
        <v>84.1</v>
      </c>
      <c r="CO45" s="404"/>
      <c r="CP45" s="465">
        <v>376</v>
      </c>
      <c r="CQ45" s="465">
        <v>76</v>
      </c>
      <c r="CR45" s="465">
        <v>9139</v>
      </c>
      <c r="CS45" s="465">
        <v>2673</v>
      </c>
      <c r="CT45" s="465">
        <v>2385</v>
      </c>
    </row>
    <row r="46" spans="1:98" ht="15.75" customHeight="1" x14ac:dyDescent="0.2">
      <c r="A46" s="121" t="s">
        <v>194</v>
      </c>
      <c r="B46" s="186">
        <v>18197</v>
      </c>
      <c r="C46" s="192">
        <v>36.729999999999997</v>
      </c>
      <c r="D46" s="163">
        <v>14053</v>
      </c>
      <c r="E46" s="396"/>
      <c r="F46" s="193">
        <v>1</v>
      </c>
      <c r="G46" s="438">
        <v>150</v>
      </c>
      <c r="H46" s="438">
        <v>26</v>
      </c>
      <c r="I46" s="438">
        <v>1856</v>
      </c>
      <c r="J46" s="438">
        <v>6</v>
      </c>
      <c r="K46" s="438">
        <v>163</v>
      </c>
      <c r="L46" s="438" t="s">
        <v>143</v>
      </c>
      <c r="M46" s="438" t="s">
        <v>143</v>
      </c>
      <c r="N46" s="467">
        <v>83</v>
      </c>
      <c r="O46" s="202">
        <v>2989</v>
      </c>
      <c r="P46" s="404">
        <v>1937</v>
      </c>
      <c r="Q46" s="438">
        <v>8</v>
      </c>
      <c r="R46" s="467">
        <v>366</v>
      </c>
      <c r="S46" s="438">
        <v>6</v>
      </c>
      <c r="T46" s="438">
        <v>12</v>
      </c>
      <c r="U46" s="467">
        <v>1161</v>
      </c>
      <c r="V46" s="438">
        <v>1</v>
      </c>
      <c r="W46" s="467">
        <v>58</v>
      </c>
      <c r="X46" s="438">
        <v>2</v>
      </c>
      <c r="Y46" s="467">
        <v>85</v>
      </c>
      <c r="Z46" s="202" t="s">
        <v>143</v>
      </c>
      <c r="AA46" s="402"/>
      <c r="AB46" s="193">
        <v>137458</v>
      </c>
      <c r="AC46" s="438">
        <v>32280</v>
      </c>
      <c r="AD46" s="438">
        <v>43441445949</v>
      </c>
      <c r="AE46" s="161">
        <v>98.43</v>
      </c>
      <c r="AF46" s="202">
        <v>22</v>
      </c>
      <c r="AG46" s="404"/>
      <c r="AH46" s="186">
        <v>107979</v>
      </c>
      <c r="AI46" s="162">
        <v>22.14</v>
      </c>
      <c r="AJ46" s="163">
        <v>70995</v>
      </c>
      <c r="AK46" s="162">
        <v>29.41</v>
      </c>
      <c r="AL46" s="163">
        <v>410096</v>
      </c>
      <c r="AM46" s="200">
        <v>93.53</v>
      </c>
      <c r="AN46" s="162">
        <v>28.4</v>
      </c>
      <c r="AO46" s="468">
        <v>13.7</v>
      </c>
      <c r="AP46" s="406"/>
      <c r="AQ46" s="186">
        <v>3222</v>
      </c>
      <c r="AR46" s="439">
        <v>31.5</v>
      </c>
      <c r="AS46" s="190">
        <v>5325</v>
      </c>
      <c r="AT46" s="440">
        <v>52.1</v>
      </c>
      <c r="AU46" s="163">
        <v>3703</v>
      </c>
      <c r="AV46" s="441">
        <v>38.200000000000003</v>
      </c>
      <c r="AW46" s="190">
        <v>999</v>
      </c>
      <c r="AX46" s="440">
        <v>9.6999999999999993</v>
      </c>
      <c r="AY46" s="163">
        <v>8</v>
      </c>
      <c r="AZ46" s="190">
        <v>620</v>
      </c>
      <c r="BA46" s="190">
        <v>400</v>
      </c>
      <c r="BB46" s="190">
        <v>578</v>
      </c>
      <c r="BC46" s="159">
        <v>389</v>
      </c>
      <c r="BD46" s="186">
        <v>29</v>
      </c>
      <c r="BE46" s="190">
        <v>1515</v>
      </c>
      <c r="BF46" s="190">
        <v>1062</v>
      </c>
      <c r="BG46" s="190">
        <v>1433</v>
      </c>
      <c r="BH46" s="190">
        <v>1089</v>
      </c>
      <c r="BI46" s="163">
        <v>4</v>
      </c>
      <c r="BJ46" s="190">
        <v>350</v>
      </c>
      <c r="BK46" s="190">
        <v>280</v>
      </c>
      <c r="BL46" s="190">
        <v>155</v>
      </c>
      <c r="BM46" s="190">
        <v>224</v>
      </c>
      <c r="BN46" s="190">
        <v>263</v>
      </c>
      <c r="BO46" s="159">
        <v>154</v>
      </c>
      <c r="BP46" s="186">
        <v>44</v>
      </c>
      <c r="BQ46" s="190">
        <v>3150</v>
      </c>
      <c r="BR46" s="190">
        <v>2849</v>
      </c>
      <c r="BS46" s="190">
        <v>1498</v>
      </c>
      <c r="BT46" s="190">
        <v>2260</v>
      </c>
      <c r="BU46" s="190">
        <v>2860</v>
      </c>
      <c r="BV46" s="159">
        <v>1556</v>
      </c>
      <c r="BW46" s="186">
        <v>23</v>
      </c>
      <c r="BX46" s="415">
        <v>437</v>
      </c>
      <c r="BY46" s="190">
        <v>420</v>
      </c>
      <c r="BZ46" s="163">
        <v>38</v>
      </c>
      <c r="CA46" s="195">
        <v>1</v>
      </c>
      <c r="CB46" s="195">
        <v>24</v>
      </c>
      <c r="CC46" s="415"/>
      <c r="CD46" s="186">
        <v>21</v>
      </c>
      <c r="CE46" s="163">
        <v>0</v>
      </c>
      <c r="CF46" s="469">
        <v>4256</v>
      </c>
      <c r="CG46" s="163">
        <v>9</v>
      </c>
      <c r="CH46" s="442">
        <f>CF46/487772*100000</f>
        <v>872.53880911573447</v>
      </c>
      <c r="CI46" s="163">
        <v>404</v>
      </c>
      <c r="CJ46" s="159">
        <v>293</v>
      </c>
      <c r="CK46" s="186">
        <v>842</v>
      </c>
      <c r="CL46" s="162">
        <f>CK46/487772*100000</f>
        <v>172.62163469817867</v>
      </c>
      <c r="CM46" s="163">
        <v>413</v>
      </c>
      <c r="CN46" s="164">
        <f>CM46/487772*100000</f>
        <v>84.670706805638702</v>
      </c>
      <c r="CO46" s="404"/>
      <c r="CP46" s="443">
        <v>952</v>
      </c>
      <c r="CQ46" s="443">
        <v>152</v>
      </c>
      <c r="CR46" s="443">
        <v>19330</v>
      </c>
      <c r="CS46" s="443">
        <v>4564</v>
      </c>
      <c r="CT46" s="443">
        <v>5088</v>
      </c>
    </row>
    <row r="47" spans="1:98" ht="15.75" customHeight="1" x14ac:dyDescent="0.2">
      <c r="A47" s="169" t="s">
        <v>195</v>
      </c>
      <c r="B47" s="139">
        <v>8317</v>
      </c>
      <c r="C47" s="179">
        <v>15.7</v>
      </c>
      <c r="D47" s="138">
        <v>6661</v>
      </c>
      <c r="E47" s="396"/>
      <c r="F47" s="183">
        <v>3</v>
      </c>
      <c r="G47" s="456">
        <v>250</v>
      </c>
      <c r="H47" s="456">
        <v>34</v>
      </c>
      <c r="I47" s="456">
        <v>2118</v>
      </c>
      <c r="J47" s="456">
        <v>15</v>
      </c>
      <c r="K47" s="456">
        <v>380</v>
      </c>
      <c r="L47" s="456" t="s">
        <v>143</v>
      </c>
      <c r="M47" s="456" t="s">
        <v>143</v>
      </c>
      <c r="N47" s="457">
        <v>41</v>
      </c>
      <c r="O47" s="197">
        <v>1601</v>
      </c>
      <c r="P47" s="458">
        <v>1497</v>
      </c>
      <c r="Q47" s="456">
        <v>3</v>
      </c>
      <c r="R47" s="457">
        <v>270</v>
      </c>
      <c r="S47" s="456">
        <v>4</v>
      </c>
      <c r="T47" s="456">
        <v>8</v>
      </c>
      <c r="U47" s="457">
        <v>968</v>
      </c>
      <c r="V47" s="456">
        <v>3</v>
      </c>
      <c r="W47" s="457">
        <v>210</v>
      </c>
      <c r="X47" s="456">
        <v>1</v>
      </c>
      <c r="Y47" s="457">
        <v>32</v>
      </c>
      <c r="Z47" s="197" t="s">
        <v>143</v>
      </c>
      <c r="AA47" s="402"/>
      <c r="AB47" s="183">
        <v>142532</v>
      </c>
      <c r="AC47" s="456">
        <v>32272</v>
      </c>
      <c r="AD47" s="456">
        <v>40264367669</v>
      </c>
      <c r="AE47" s="178">
        <v>97.1</v>
      </c>
      <c r="AF47" s="197">
        <v>24</v>
      </c>
      <c r="AG47" s="404"/>
      <c r="AH47" s="139">
        <v>108453</v>
      </c>
      <c r="AI47" s="171">
        <v>20.3</v>
      </c>
      <c r="AJ47" s="138">
        <v>68692</v>
      </c>
      <c r="AK47" s="171">
        <v>28.6</v>
      </c>
      <c r="AL47" s="138">
        <v>389972</v>
      </c>
      <c r="AM47" s="196">
        <v>94.7</v>
      </c>
      <c r="AN47" s="171">
        <v>34.4</v>
      </c>
      <c r="AO47" s="459">
        <v>9.6999999999999993</v>
      </c>
      <c r="AP47" s="406"/>
      <c r="AQ47" s="139">
        <v>2582</v>
      </c>
      <c r="AR47" s="407">
        <v>18.97</v>
      </c>
      <c r="AS47" s="174">
        <v>8135</v>
      </c>
      <c r="AT47" s="460">
        <v>59.79</v>
      </c>
      <c r="AU47" s="138">
        <v>4164</v>
      </c>
      <c r="AV47" s="461">
        <v>33.6</v>
      </c>
      <c r="AW47" s="174">
        <v>790</v>
      </c>
      <c r="AX47" s="460">
        <v>5.8</v>
      </c>
      <c r="AY47" s="138">
        <v>19</v>
      </c>
      <c r="AZ47" s="174">
        <v>1615</v>
      </c>
      <c r="BA47" s="174">
        <v>845</v>
      </c>
      <c r="BB47" s="174">
        <v>1433</v>
      </c>
      <c r="BC47" s="176">
        <v>633</v>
      </c>
      <c r="BD47" s="139">
        <v>15</v>
      </c>
      <c r="BE47" s="174">
        <v>975</v>
      </c>
      <c r="BF47" s="174">
        <v>752</v>
      </c>
      <c r="BG47" s="174">
        <v>1080</v>
      </c>
      <c r="BH47" s="174">
        <v>576</v>
      </c>
      <c r="BI47" s="138">
        <v>10</v>
      </c>
      <c r="BJ47" s="174">
        <v>341</v>
      </c>
      <c r="BK47" s="174">
        <v>573</v>
      </c>
      <c r="BL47" s="174">
        <v>251</v>
      </c>
      <c r="BM47" s="174">
        <v>198</v>
      </c>
      <c r="BN47" s="174">
        <v>582</v>
      </c>
      <c r="BO47" s="176">
        <v>202</v>
      </c>
      <c r="BP47" s="139">
        <v>68</v>
      </c>
      <c r="BQ47" s="174">
        <v>2679</v>
      </c>
      <c r="BR47" s="174">
        <v>4816</v>
      </c>
      <c r="BS47" s="174">
        <v>2692</v>
      </c>
      <c r="BT47" s="174">
        <v>2384</v>
      </c>
      <c r="BU47" s="174">
        <v>4857</v>
      </c>
      <c r="BV47" s="176">
        <v>2286</v>
      </c>
      <c r="BW47" s="139" t="s">
        <v>143</v>
      </c>
      <c r="BX47" s="462" t="s">
        <v>143</v>
      </c>
      <c r="BY47" s="174" t="s">
        <v>143</v>
      </c>
      <c r="BZ47" s="138">
        <v>122</v>
      </c>
      <c r="CA47" s="185"/>
      <c r="CB47" s="185">
        <v>28</v>
      </c>
      <c r="CC47" s="415"/>
      <c r="CD47" s="139">
        <v>35</v>
      </c>
      <c r="CE47" s="138" t="s">
        <v>143</v>
      </c>
      <c r="CF47" s="463">
        <v>6033</v>
      </c>
      <c r="CG47" s="138" t="s">
        <v>143</v>
      </c>
      <c r="CH47" s="464">
        <v>1128.4000000000001</v>
      </c>
      <c r="CI47" s="138">
        <v>417</v>
      </c>
      <c r="CJ47" s="176">
        <v>285</v>
      </c>
      <c r="CK47" s="139">
        <v>1234</v>
      </c>
      <c r="CL47" s="171">
        <v>230.8</v>
      </c>
      <c r="CM47" s="138">
        <v>382</v>
      </c>
      <c r="CN47" s="180">
        <v>71.447999999999993</v>
      </c>
      <c r="CO47" s="404"/>
      <c r="CP47" s="465">
        <v>564</v>
      </c>
      <c r="CQ47" s="465">
        <v>84</v>
      </c>
      <c r="CR47" s="465">
        <v>21742</v>
      </c>
      <c r="CS47" s="465">
        <v>5162</v>
      </c>
      <c r="CT47" s="465">
        <v>4019</v>
      </c>
    </row>
    <row r="48" spans="1:98" ht="15.75" customHeight="1" x14ac:dyDescent="0.2">
      <c r="A48" s="121" t="s">
        <v>196</v>
      </c>
      <c r="B48" s="186">
        <v>17610</v>
      </c>
      <c r="C48" s="192">
        <v>39</v>
      </c>
      <c r="D48" s="163">
        <v>13733</v>
      </c>
      <c r="E48" s="396"/>
      <c r="F48" s="193">
        <v>1</v>
      </c>
      <c r="G48" s="438">
        <v>50</v>
      </c>
      <c r="H48" s="438">
        <v>22</v>
      </c>
      <c r="I48" s="438">
        <v>1684</v>
      </c>
      <c r="J48" s="438">
        <v>3</v>
      </c>
      <c r="K48" s="438">
        <v>73</v>
      </c>
      <c r="L48" s="438">
        <v>0</v>
      </c>
      <c r="M48" s="438">
        <v>0</v>
      </c>
      <c r="N48" s="467">
        <v>71</v>
      </c>
      <c r="O48" s="202">
        <v>2930</v>
      </c>
      <c r="P48" s="404">
        <v>1687</v>
      </c>
      <c r="Q48" s="438">
        <v>5</v>
      </c>
      <c r="R48" s="467">
        <v>75</v>
      </c>
      <c r="S48" s="438">
        <v>5</v>
      </c>
      <c r="T48" s="438">
        <v>13</v>
      </c>
      <c r="U48" s="467">
        <v>1154</v>
      </c>
      <c r="V48" s="438">
        <v>0</v>
      </c>
      <c r="W48" s="467">
        <v>0</v>
      </c>
      <c r="X48" s="438">
        <v>0</v>
      </c>
      <c r="Y48" s="467">
        <v>0</v>
      </c>
      <c r="Z48" s="202">
        <v>0</v>
      </c>
      <c r="AA48" s="402"/>
      <c r="AB48" s="193">
        <v>127947</v>
      </c>
      <c r="AC48" s="438">
        <v>28990</v>
      </c>
      <c r="AD48" s="438">
        <v>39422994267</v>
      </c>
      <c r="AE48" s="161">
        <v>98.7</v>
      </c>
      <c r="AF48" s="202">
        <v>12</v>
      </c>
      <c r="AG48" s="404"/>
      <c r="AH48" s="186">
        <v>93556</v>
      </c>
      <c r="AI48" s="162">
        <v>20.2</v>
      </c>
      <c r="AJ48" s="163">
        <v>63381</v>
      </c>
      <c r="AK48" s="162">
        <v>26.8</v>
      </c>
      <c r="AL48" s="163">
        <v>408656</v>
      </c>
      <c r="AM48" s="200">
        <v>94</v>
      </c>
      <c r="AN48" s="162">
        <v>31.4</v>
      </c>
      <c r="AO48" s="468">
        <v>40.299999999999997</v>
      </c>
      <c r="AP48" s="406"/>
      <c r="AQ48" s="186">
        <v>3219</v>
      </c>
      <c r="AR48" s="439">
        <v>31</v>
      </c>
      <c r="AS48" s="190">
        <v>4701</v>
      </c>
      <c r="AT48" s="440">
        <v>45</v>
      </c>
      <c r="AU48" s="163">
        <v>3691</v>
      </c>
      <c r="AV48" s="441">
        <v>34</v>
      </c>
      <c r="AW48" s="190">
        <v>4257</v>
      </c>
      <c r="AX48" s="440">
        <v>41</v>
      </c>
      <c r="AY48" s="163">
        <v>19</v>
      </c>
      <c r="AZ48" s="190">
        <v>932</v>
      </c>
      <c r="BA48" s="190">
        <v>603</v>
      </c>
      <c r="BB48" s="190">
        <v>902</v>
      </c>
      <c r="BC48" s="159">
        <v>569</v>
      </c>
      <c r="BD48" s="186">
        <v>58</v>
      </c>
      <c r="BE48" s="190">
        <v>2399</v>
      </c>
      <c r="BF48" s="190">
        <v>2157</v>
      </c>
      <c r="BG48" s="163">
        <v>2583</v>
      </c>
      <c r="BH48" s="163">
        <v>2168</v>
      </c>
      <c r="BI48" s="163">
        <v>0</v>
      </c>
      <c r="BJ48" s="190">
        <v>0</v>
      </c>
      <c r="BK48" s="190">
        <v>0</v>
      </c>
      <c r="BL48" s="190">
        <v>0</v>
      </c>
      <c r="BM48" s="190">
        <v>0</v>
      </c>
      <c r="BN48" s="190">
        <v>0</v>
      </c>
      <c r="BO48" s="159">
        <v>0</v>
      </c>
      <c r="BP48" s="186">
        <v>19</v>
      </c>
      <c r="BQ48" s="190">
        <v>3081</v>
      </c>
      <c r="BR48" s="190">
        <v>812</v>
      </c>
      <c r="BS48" s="190">
        <v>559</v>
      </c>
      <c r="BT48" s="190">
        <v>2774</v>
      </c>
      <c r="BU48" s="190">
        <v>880</v>
      </c>
      <c r="BV48" s="159">
        <v>524</v>
      </c>
      <c r="BW48" s="186">
        <v>38</v>
      </c>
      <c r="BX48" s="415">
        <v>610</v>
      </c>
      <c r="BY48" s="190">
        <v>552</v>
      </c>
      <c r="BZ48" s="163">
        <v>236</v>
      </c>
      <c r="CA48" s="195" t="s">
        <v>143</v>
      </c>
      <c r="CB48" s="195">
        <v>10</v>
      </c>
      <c r="CC48" s="415"/>
      <c r="CD48" s="186">
        <v>24</v>
      </c>
      <c r="CE48" s="163">
        <v>0</v>
      </c>
      <c r="CF48" s="469">
        <v>4285</v>
      </c>
      <c r="CG48" s="163">
        <v>0</v>
      </c>
      <c r="CH48" s="442">
        <v>925</v>
      </c>
      <c r="CI48" s="163">
        <v>510</v>
      </c>
      <c r="CJ48" s="159">
        <v>246</v>
      </c>
      <c r="CK48" s="186">
        <v>1254</v>
      </c>
      <c r="CL48" s="162">
        <v>270.7</v>
      </c>
      <c r="CM48" s="163">
        <v>354</v>
      </c>
      <c r="CN48" s="164">
        <v>76.400000000000006</v>
      </c>
      <c r="CO48" s="404"/>
      <c r="CP48" s="443">
        <v>881</v>
      </c>
      <c r="CQ48" s="443">
        <v>137</v>
      </c>
      <c r="CR48" s="443">
        <v>22622</v>
      </c>
      <c r="CS48" s="443">
        <v>5293</v>
      </c>
      <c r="CT48" s="443">
        <v>5437</v>
      </c>
    </row>
    <row r="49" spans="1:98" ht="15.75" customHeight="1" x14ac:dyDescent="0.2">
      <c r="A49" s="169" t="s">
        <v>197</v>
      </c>
      <c r="B49" s="139">
        <v>5141</v>
      </c>
      <c r="C49" s="470" t="s">
        <v>341</v>
      </c>
      <c r="D49" s="138">
        <v>3897</v>
      </c>
      <c r="E49" s="396"/>
      <c r="F49" s="183">
        <v>2</v>
      </c>
      <c r="G49" s="456">
        <v>180</v>
      </c>
      <c r="H49" s="456">
        <v>15</v>
      </c>
      <c r="I49" s="456">
        <v>1120</v>
      </c>
      <c r="J49" s="456">
        <v>3</v>
      </c>
      <c r="K49" s="456">
        <v>87</v>
      </c>
      <c r="L49" s="456">
        <v>0</v>
      </c>
      <c r="M49" s="456">
        <v>0</v>
      </c>
      <c r="N49" s="457">
        <v>28</v>
      </c>
      <c r="O49" s="197">
        <v>1144</v>
      </c>
      <c r="P49" s="458">
        <v>584</v>
      </c>
      <c r="Q49" s="456">
        <v>3</v>
      </c>
      <c r="R49" s="457">
        <v>218</v>
      </c>
      <c r="S49" s="456">
        <v>4</v>
      </c>
      <c r="T49" s="456">
        <v>6</v>
      </c>
      <c r="U49" s="457">
        <v>596</v>
      </c>
      <c r="V49" s="456" t="s">
        <v>143</v>
      </c>
      <c r="W49" s="457" t="s">
        <v>143</v>
      </c>
      <c r="X49" s="456" t="s">
        <v>143</v>
      </c>
      <c r="Y49" s="457" t="s">
        <v>143</v>
      </c>
      <c r="Z49" s="197">
        <v>0</v>
      </c>
      <c r="AA49" s="402"/>
      <c r="AB49" s="183">
        <v>79251</v>
      </c>
      <c r="AC49" s="456">
        <v>14780</v>
      </c>
      <c r="AD49" s="456">
        <v>20107604699</v>
      </c>
      <c r="AE49" s="178">
        <v>99.2</v>
      </c>
      <c r="AF49" s="197">
        <v>6</v>
      </c>
      <c r="AG49" s="404"/>
      <c r="AH49" s="139">
        <v>57223</v>
      </c>
      <c r="AI49" s="171">
        <v>19.100000000000001</v>
      </c>
      <c r="AJ49" s="138">
        <v>37090</v>
      </c>
      <c r="AK49" s="171">
        <v>28.7</v>
      </c>
      <c r="AL49" s="138">
        <v>413215</v>
      </c>
      <c r="AM49" s="196">
        <v>94.09</v>
      </c>
      <c r="AN49" s="171">
        <v>25.6</v>
      </c>
      <c r="AO49" s="459">
        <v>27.6</v>
      </c>
      <c r="AP49" s="406"/>
      <c r="AQ49" s="139">
        <v>3513</v>
      </c>
      <c r="AR49" s="407">
        <v>40</v>
      </c>
      <c r="AS49" s="174">
        <v>4684</v>
      </c>
      <c r="AT49" s="460">
        <v>54</v>
      </c>
      <c r="AU49" s="138">
        <v>3857</v>
      </c>
      <c r="AV49" s="461">
        <v>45</v>
      </c>
      <c r="AW49" s="174">
        <v>818</v>
      </c>
      <c r="AX49" s="460">
        <v>9.3000000000000007</v>
      </c>
      <c r="AY49" s="138">
        <v>10</v>
      </c>
      <c r="AZ49" s="174">
        <v>658</v>
      </c>
      <c r="BA49" s="174">
        <v>338</v>
      </c>
      <c r="BB49" s="174">
        <v>723</v>
      </c>
      <c r="BC49" s="176">
        <v>350</v>
      </c>
      <c r="BD49" s="139">
        <v>41</v>
      </c>
      <c r="BE49" s="174">
        <v>2744</v>
      </c>
      <c r="BF49" s="174">
        <v>1925</v>
      </c>
      <c r="BG49" s="174">
        <v>2527</v>
      </c>
      <c r="BH49" s="174">
        <v>1580</v>
      </c>
      <c r="BI49" s="138">
        <v>1</v>
      </c>
      <c r="BJ49" s="174">
        <v>100</v>
      </c>
      <c r="BK49" s="174">
        <v>60</v>
      </c>
      <c r="BL49" s="174">
        <v>35</v>
      </c>
      <c r="BM49" s="174">
        <v>61</v>
      </c>
      <c r="BN49" s="174">
        <v>76</v>
      </c>
      <c r="BO49" s="176">
        <v>32</v>
      </c>
      <c r="BP49" s="139">
        <v>14</v>
      </c>
      <c r="BQ49" s="174">
        <v>291</v>
      </c>
      <c r="BR49" s="174">
        <v>908</v>
      </c>
      <c r="BS49" s="174">
        <v>632</v>
      </c>
      <c r="BT49" s="174">
        <v>233</v>
      </c>
      <c r="BU49" s="174">
        <v>903</v>
      </c>
      <c r="BV49" s="176">
        <v>600</v>
      </c>
      <c r="BW49" s="139">
        <v>17</v>
      </c>
      <c r="BX49" s="462">
        <v>312</v>
      </c>
      <c r="BY49" s="174">
        <v>273</v>
      </c>
      <c r="BZ49" s="138">
        <v>365</v>
      </c>
      <c r="CA49" s="185" t="s">
        <v>143</v>
      </c>
      <c r="CB49" s="185">
        <v>5</v>
      </c>
      <c r="CC49" s="415"/>
      <c r="CD49" s="139">
        <v>21</v>
      </c>
      <c r="CE49" s="138">
        <v>1</v>
      </c>
      <c r="CF49" s="463">
        <v>3851</v>
      </c>
      <c r="CG49" s="138">
        <v>329</v>
      </c>
      <c r="CH49" s="464">
        <v>1268.4996393126187</v>
      </c>
      <c r="CI49" s="138">
        <v>254</v>
      </c>
      <c r="CJ49" s="176">
        <v>152</v>
      </c>
      <c r="CK49" s="139">
        <v>733</v>
      </c>
      <c r="CL49" s="171">
        <v>241.44643874737719</v>
      </c>
      <c r="CM49" s="138">
        <v>223</v>
      </c>
      <c r="CN49" s="180">
        <v>73.455055717142045</v>
      </c>
      <c r="CO49" s="404"/>
      <c r="CP49" s="465">
        <v>302</v>
      </c>
      <c r="CQ49" s="465">
        <v>102</v>
      </c>
      <c r="CR49" s="465">
        <v>11321</v>
      </c>
      <c r="CS49" s="465">
        <v>2987</v>
      </c>
      <c r="CT49" s="465">
        <v>2920</v>
      </c>
    </row>
    <row r="50" spans="1:98" ht="15.75" customHeight="1" x14ac:dyDescent="0.2">
      <c r="A50" s="121" t="s">
        <v>198</v>
      </c>
      <c r="B50" s="186">
        <v>7817</v>
      </c>
      <c r="C50" s="192">
        <v>16.03</v>
      </c>
      <c r="D50" s="163">
        <v>5911</v>
      </c>
      <c r="E50" s="396"/>
      <c r="F50" s="193">
        <v>1</v>
      </c>
      <c r="G50" s="438">
        <v>100</v>
      </c>
      <c r="H50" s="438">
        <v>18</v>
      </c>
      <c r="I50" s="438">
        <v>1688</v>
      </c>
      <c r="J50" s="438">
        <v>2</v>
      </c>
      <c r="K50" s="438">
        <v>49</v>
      </c>
      <c r="L50" s="438">
        <v>0</v>
      </c>
      <c r="M50" s="438">
        <v>0</v>
      </c>
      <c r="N50" s="467">
        <v>16</v>
      </c>
      <c r="O50" s="202">
        <v>1000</v>
      </c>
      <c r="P50" s="404">
        <v>1358</v>
      </c>
      <c r="Q50" s="438">
        <v>6</v>
      </c>
      <c r="R50" s="467">
        <v>212</v>
      </c>
      <c r="S50" s="438">
        <v>1</v>
      </c>
      <c r="T50" s="438">
        <v>9</v>
      </c>
      <c r="U50" s="467">
        <v>876</v>
      </c>
      <c r="V50" s="438">
        <v>1</v>
      </c>
      <c r="W50" s="467">
        <v>34</v>
      </c>
      <c r="X50" s="438">
        <v>2</v>
      </c>
      <c r="Y50" s="467">
        <v>51</v>
      </c>
      <c r="Z50" s="202">
        <v>22</v>
      </c>
      <c r="AA50" s="402"/>
      <c r="AB50" s="193">
        <v>116709</v>
      </c>
      <c r="AC50" s="438">
        <v>22074</v>
      </c>
      <c r="AD50" s="438">
        <v>29895166615</v>
      </c>
      <c r="AE50" s="161">
        <v>99.4</v>
      </c>
      <c r="AF50" s="202">
        <v>15</v>
      </c>
      <c r="AG50" s="404"/>
      <c r="AH50" s="186">
        <v>85345</v>
      </c>
      <c r="AI50" s="162">
        <v>17.600000000000001</v>
      </c>
      <c r="AJ50" s="163">
        <v>56296</v>
      </c>
      <c r="AK50" s="162">
        <v>25.3</v>
      </c>
      <c r="AL50" s="163">
        <v>394538</v>
      </c>
      <c r="AM50" s="200">
        <v>94.89</v>
      </c>
      <c r="AN50" s="162">
        <v>35.9</v>
      </c>
      <c r="AO50" s="468">
        <v>46.1</v>
      </c>
      <c r="AP50" s="406"/>
      <c r="AQ50" s="186">
        <v>807</v>
      </c>
      <c r="AR50" s="439">
        <v>6.2</v>
      </c>
      <c r="AS50" s="190">
        <v>4324</v>
      </c>
      <c r="AT50" s="440">
        <v>33.299999999999997</v>
      </c>
      <c r="AU50" s="163">
        <v>3586</v>
      </c>
      <c r="AV50" s="441">
        <v>31.1</v>
      </c>
      <c r="AW50" s="190">
        <v>2111</v>
      </c>
      <c r="AX50" s="440">
        <v>16.2</v>
      </c>
      <c r="AY50" s="163">
        <v>23</v>
      </c>
      <c r="AZ50" s="190">
        <v>1479</v>
      </c>
      <c r="BA50" s="190">
        <v>798</v>
      </c>
      <c r="BB50" s="190">
        <v>1507</v>
      </c>
      <c r="BC50" s="159">
        <v>864</v>
      </c>
      <c r="BD50" s="186">
        <v>26</v>
      </c>
      <c r="BE50" s="190">
        <v>1135</v>
      </c>
      <c r="BF50" s="190">
        <v>900</v>
      </c>
      <c r="BG50" s="190">
        <v>1128</v>
      </c>
      <c r="BH50" s="190">
        <v>956</v>
      </c>
      <c r="BI50" s="163" t="s">
        <v>143</v>
      </c>
      <c r="BJ50" s="190" t="s">
        <v>143</v>
      </c>
      <c r="BK50" s="190" t="s">
        <v>143</v>
      </c>
      <c r="BL50" s="190" t="s">
        <v>143</v>
      </c>
      <c r="BM50" s="190" t="s">
        <v>143</v>
      </c>
      <c r="BN50" s="190" t="s">
        <v>143</v>
      </c>
      <c r="BO50" s="159" t="s">
        <v>143</v>
      </c>
      <c r="BP50" s="186">
        <v>28</v>
      </c>
      <c r="BQ50" s="190">
        <v>1051</v>
      </c>
      <c r="BR50" s="190">
        <v>1573</v>
      </c>
      <c r="BS50" s="190">
        <v>1128</v>
      </c>
      <c r="BT50" s="190">
        <v>807</v>
      </c>
      <c r="BU50" s="190">
        <v>1682</v>
      </c>
      <c r="BV50" s="159">
        <v>1147</v>
      </c>
      <c r="BW50" s="186">
        <v>52</v>
      </c>
      <c r="BX50" s="415">
        <v>711</v>
      </c>
      <c r="BY50" s="190">
        <v>632</v>
      </c>
      <c r="BZ50" s="163">
        <v>345</v>
      </c>
      <c r="CA50" s="195">
        <v>8</v>
      </c>
      <c r="CB50" s="195">
        <v>21</v>
      </c>
      <c r="CC50" s="415"/>
      <c r="CD50" s="186">
        <v>25</v>
      </c>
      <c r="CE50" s="163">
        <v>1</v>
      </c>
      <c r="CF50" s="469">
        <v>5330</v>
      </c>
      <c r="CG50" s="163">
        <v>257</v>
      </c>
      <c r="CH50" s="442">
        <v>1101.8</v>
      </c>
      <c r="CI50" s="163">
        <v>544</v>
      </c>
      <c r="CJ50" s="159">
        <v>287</v>
      </c>
      <c r="CK50" s="186">
        <v>1629</v>
      </c>
      <c r="CL50" s="162">
        <v>336.7</v>
      </c>
      <c r="CM50" s="163">
        <v>345</v>
      </c>
      <c r="CN50" s="164">
        <v>71.3</v>
      </c>
      <c r="CO50" s="404"/>
      <c r="CP50" s="443">
        <v>250</v>
      </c>
      <c r="CQ50" s="443">
        <v>72</v>
      </c>
      <c r="CR50" s="443">
        <v>15864</v>
      </c>
      <c r="CS50" s="443">
        <v>4195</v>
      </c>
      <c r="CT50" s="443">
        <v>3779</v>
      </c>
    </row>
    <row r="51" spans="1:98" ht="15.75" customHeight="1" x14ac:dyDescent="0.2">
      <c r="A51" s="169" t="s">
        <v>200</v>
      </c>
      <c r="B51" s="139">
        <v>7247</v>
      </c>
      <c r="C51" s="179">
        <v>20.399999999999999</v>
      </c>
      <c r="D51" s="138">
        <v>5422</v>
      </c>
      <c r="E51" s="396"/>
      <c r="F51" s="183">
        <v>1</v>
      </c>
      <c r="G51" s="456">
        <v>125</v>
      </c>
      <c r="H51" s="456">
        <v>24</v>
      </c>
      <c r="I51" s="456">
        <v>1652</v>
      </c>
      <c r="J51" s="456">
        <v>0</v>
      </c>
      <c r="K51" s="456">
        <v>0</v>
      </c>
      <c r="L51" s="456">
        <v>2</v>
      </c>
      <c r="M51" s="456">
        <v>120</v>
      </c>
      <c r="N51" s="457">
        <v>74</v>
      </c>
      <c r="O51" s="197">
        <v>3311</v>
      </c>
      <c r="P51" s="458">
        <v>1470</v>
      </c>
      <c r="Q51" s="456">
        <v>11</v>
      </c>
      <c r="R51" s="457">
        <v>340</v>
      </c>
      <c r="S51" s="456">
        <v>4</v>
      </c>
      <c r="T51" s="456">
        <v>11</v>
      </c>
      <c r="U51" s="457">
        <v>1098</v>
      </c>
      <c r="V51" s="456">
        <v>1</v>
      </c>
      <c r="W51" s="457">
        <v>152</v>
      </c>
      <c r="X51" s="456">
        <v>0</v>
      </c>
      <c r="Y51" s="457">
        <v>0</v>
      </c>
      <c r="Z51" s="197">
        <v>18</v>
      </c>
      <c r="AA51" s="402"/>
      <c r="AB51" s="183">
        <v>110103</v>
      </c>
      <c r="AC51" s="456">
        <v>21802</v>
      </c>
      <c r="AD51" s="456">
        <v>29164047167</v>
      </c>
      <c r="AE51" s="178">
        <v>97.5</v>
      </c>
      <c r="AF51" s="197">
        <v>13</v>
      </c>
      <c r="AG51" s="404"/>
      <c r="AH51" s="139">
        <v>74821</v>
      </c>
      <c r="AI51" s="171">
        <v>21</v>
      </c>
      <c r="AJ51" s="138">
        <v>48231</v>
      </c>
      <c r="AK51" s="171">
        <v>29.4</v>
      </c>
      <c r="AL51" s="138">
        <v>391915.37275600003</v>
      </c>
      <c r="AM51" s="196">
        <v>92.57</v>
      </c>
      <c r="AN51" s="171">
        <v>32.9</v>
      </c>
      <c r="AO51" s="459">
        <v>7.9</v>
      </c>
      <c r="AP51" s="406"/>
      <c r="AQ51" s="139">
        <v>1878</v>
      </c>
      <c r="AR51" s="407">
        <v>23.9</v>
      </c>
      <c r="AS51" s="174">
        <v>3584</v>
      </c>
      <c r="AT51" s="460">
        <v>45.6</v>
      </c>
      <c r="AU51" s="138">
        <v>2494</v>
      </c>
      <c r="AV51" s="461">
        <v>36.200000000000003</v>
      </c>
      <c r="AW51" s="174">
        <v>361</v>
      </c>
      <c r="AX51" s="460">
        <v>4.5999999999999996</v>
      </c>
      <c r="AY51" s="138">
        <v>7</v>
      </c>
      <c r="AZ51" s="174">
        <v>694</v>
      </c>
      <c r="BA51" s="174">
        <v>486</v>
      </c>
      <c r="BB51" s="174">
        <v>581</v>
      </c>
      <c r="BC51" s="176">
        <v>358</v>
      </c>
      <c r="BD51" s="139">
        <v>22</v>
      </c>
      <c r="BE51" s="174">
        <v>1395</v>
      </c>
      <c r="BF51" s="174">
        <v>1134</v>
      </c>
      <c r="BG51" s="174">
        <v>1383</v>
      </c>
      <c r="BH51" s="174">
        <v>1065</v>
      </c>
      <c r="BI51" s="138">
        <v>18</v>
      </c>
      <c r="BJ51" s="174">
        <v>1420</v>
      </c>
      <c r="BK51" s="174">
        <v>905</v>
      </c>
      <c r="BL51" s="174">
        <v>515</v>
      </c>
      <c r="BM51" s="174">
        <v>1122</v>
      </c>
      <c r="BN51" s="1052">
        <v>707</v>
      </c>
      <c r="BO51" s="176">
        <v>340</v>
      </c>
      <c r="BP51" s="139">
        <v>13</v>
      </c>
      <c r="BQ51" s="174">
        <v>376</v>
      </c>
      <c r="BR51" s="174">
        <v>1004</v>
      </c>
      <c r="BS51" s="174">
        <v>798</v>
      </c>
      <c r="BT51" s="174">
        <v>270</v>
      </c>
      <c r="BU51" s="174">
        <v>899</v>
      </c>
      <c r="BV51" s="176">
        <v>650</v>
      </c>
      <c r="BW51" s="139">
        <v>5</v>
      </c>
      <c r="BX51" s="462">
        <v>95</v>
      </c>
      <c r="BY51" s="174">
        <v>73</v>
      </c>
      <c r="BZ51" s="138">
        <v>33</v>
      </c>
      <c r="CA51" s="185">
        <v>4</v>
      </c>
      <c r="CB51" s="185">
        <v>18</v>
      </c>
      <c r="CC51" s="415"/>
      <c r="CD51" s="139">
        <v>23</v>
      </c>
      <c r="CE51" s="138">
        <v>1</v>
      </c>
      <c r="CF51" s="463">
        <v>4400</v>
      </c>
      <c r="CG51" s="138">
        <v>350</v>
      </c>
      <c r="CH51" s="464">
        <v>1237.5999999999999</v>
      </c>
      <c r="CI51" s="138">
        <v>394</v>
      </c>
      <c r="CJ51" s="176">
        <v>191</v>
      </c>
      <c r="CK51" s="139">
        <v>956</v>
      </c>
      <c r="CL51" s="171">
        <v>268.89999999999998</v>
      </c>
      <c r="CM51" s="138">
        <v>272</v>
      </c>
      <c r="CN51" s="180">
        <v>76.5</v>
      </c>
      <c r="CO51" s="404"/>
      <c r="CP51" s="465">
        <v>612</v>
      </c>
      <c r="CQ51" s="465">
        <v>135</v>
      </c>
      <c r="CR51" s="465">
        <v>13965</v>
      </c>
      <c r="CS51" s="465">
        <v>2933</v>
      </c>
      <c r="CT51" s="465">
        <v>4001</v>
      </c>
    </row>
    <row r="52" spans="1:98" ht="15.75" customHeight="1" x14ac:dyDescent="0.2">
      <c r="A52" s="121" t="s">
        <v>201</v>
      </c>
      <c r="B52" s="186">
        <v>9008</v>
      </c>
      <c r="C52" s="192">
        <v>25.44</v>
      </c>
      <c r="D52" s="163">
        <v>7430</v>
      </c>
      <c r="E52" s="396"/>
      <c r="F52" s="193">
        <v>3</v>
      </c>
      <c r="G52" s="438">
        <v>210</v>
      </c>
      <c r="H52" s="438">
        <v>21</v>
      </c>
      <c r="I52" s="438">
        <v>1339</v>
      </c>
      <c r="J52" s="438">
        <v>11</v>
      </c>
      <c r="K52" s="438">
        <v>319</v>
      </c>
      <c r="L52" s="438" t="s">
        <v>143</v>
      </c>
      <c r="M52" s="438" t="s">
        <v>143</v>
      </c>
      <c r="N52" s="467">
        <v>166</v>
      </c>
      <c r="O52" s="1034">
        <v>4437</v>
      </c>
      <c r="P52" s="404">
        <v>2187</v>
      </c>
      <c r="Q52" s="438">
        <v>9</v>
      </c>
      <c r="R52" s="467">
        <v>342</v>
      </c>
      <c r="S52" s="438" t="s">
        <v>143</v>
      </c>
      <c r="T52" s="438">
        <v>13</v>
      </c>
      <c r="U52" s="467">
        <v>1069</v>
      </c>
      <c r="V52" s="438">
        <v>2</v>
      </c>
      <c r="W52" s="467">
        <v>77</v>
      </c>
      <c r="X52" s="438">
        <v>3</v>
      </c>
      <c r="Y52" s="467">
        <v>48</v>
      </c>
      <c r="Z52" s="202" t="s">
        <v>143</v>
      </c>
      <c r="AA52" s="402"/>
      <c r="AB52" s="1036">
        <v>110815</v>
      </c>
      <c r="AC52" s="438">
        <v>26158</v>
      </c>
      <c r="AD52" s="438">
        <v>36114502988</v>
      </c>
      <c r="AE52" s="161">
        <v>98.92</v>
      </c>
      <c r="AF52" s="202">
        <v>15</v>
      </c>
      <c r="AG52" s="404"/>
      <c r="AH52" s="186">
        <v>79285</v>
      </c>
      <c r="AI52" s="162">
        <v>21.673878991495563</v>
      </c>
      <c r="AJ52" s="163">
        <v>51187</v>
      </c>
      <c r="AK52" s="162">
        <v>29.286028961626702</v>
      </c>
      <c r="AL52" s="163">
        <v>397746.14589673141</v>
      </c>
      <c r="AM52" s="200">
        <v>91.48</v>
      </c>
      <c r="AN52" s="162">
        <v>35.200000000000003</v>
      </c>
      <c r="AO52" s="468">
        <v>34.200000000000003</v>
      </c>
      <c r="AP52" s="406"/>
      <c r="AQ52" s="186">
        <v>2131</v>
      </c>
      <c r="AR52" s="1067">
        <v>24.9</v>
      </c>
      <c r="AS52" s="1068">
        <v>4535</v>
      </c>
      <c r="AT52" s="1069">
        <v>52.9</v>
      </c>
      <c r="AU52" s="1046">
        <v>2893</v>
      </c>
      <c r="AV52" s="1070">
        <v>37</v>
      </c>
      <c r="AW52" s="1068">
        <v>722</v>
      </c>
      <c r="AX52" s="1069">
        <v>8.4</v>
      </c>
      <c r="AY52" s="163">
        <v>14</v>
      </c>
      <c r="AZ52" s="190">
        <v>865</v>
      </c>
      <c r="BA52" s="190">
        <v>315</v>
      </c>
      <c r="BB52" s="190">
        <v>587</v>
      </c>
      <c r="BC52" s="159">
        <v>244</v>
      </c>
      <c r="BD52" s="186">
        <v>18</v>
      </c>
      <c r="BE52" s="190">
        <v>1634</v>
      </c>
      <c r="BF52" s="190">
        <v>953</v>
      </c>
      <c r="BG52" s="190">
        <v>1600</v>
      </c>
      <c r="BH52" s="190">
        <v>904</v>
      </c>
      <c r="BI52" s="163">
        <v>2</v>
      </c>
      <c r="BJ52" s="190">
        <v>75</v>
      </c>
      <c r="BK52" s="190">
        <v>131</v>
      </c>
      <c r="BL52" s="190">
        <v>57</v>
      </c>
      <c r="BM52" s="190">
        <v>50</v>
      </c>
      <c r="BN52" s="190">
        <v>93</v>
      </c>
      <c r="BO52" s="159">
        <v>49</v>
      </c>
      <c r="BP52" s="186">
        <v>28</v>
      </c>
      <c r="BQ52" s="190">
        <v>1488</v>
      </c>
      <c r="BR52" s="190">
        <v>2306</v>
      </c>
      <c r="BS52" s="190">
        <v>1588</v>
      </c>
      <c r="BT52" s="190">
        <v>1247</v>
      </c>
      <c r="BU52" s="190">
        <v>2143</v>
      </c>
      <c r="BV52" s="159">
        <v>1277</v>
      </c>
      <c r="BW52" s="186" t="s">
        <v>143</v>
      </c>
      <c r="BX52" s="415" t="s">
        <v>143</v>
      </c>
      <c r="BY52" s="190" t="s">
        <v>143</v>
      </c>
      <c r="BZ52" s="163" t="s">
        <v>143</v>
      </c>
      <c r="CA52" s="195">
        <v>8</v>
      </c>
      <c r="CB52" s="195">
        <v>12</v>
      </c>
      <c r="CC52" s="415"/>
      <c r="CD52" s="186">
        <v>37</v>
      </c>
      <c r="CE52" s="163">
        <v>0</v>
      </c>
      <c r="CF52" s="469">
        <v>5648</v>
      </c>
      <c r="CG52" s="163">
        <v>0</v>
      </c>
      <c r="CH52" s="442">
        <v>1544</v>
      </c>
      <c r="CI52" s="163">
        <v>436</v>
      </c>
      <c r="CJ52" s="159">
        <v>227</v>
      </c>
      <c r="CK52" s="186">
        <v>1622</v>
      </c>
      <c r="CL52" s="162">
        <v>443</v>
      </c>
      <c r="CM52" s="163">
        <v>322</v>
      </c>
      <c r="CN52" s="164">
        <v>88</v>
      </c>
      <c r="CO52" s="404"/>
      <c r="CP52" s="443">
        <v>534</v>
      </c>
      <c r="CQ52" s="443">
        <v>111</v>
      </c>
      <c r="CR52" s="443">
        <v>17461</v>
      </c>
      <c r="CS52" s="443">
        <v>3639</v>
      </c>
      <c r="CT52" s="443">
        <v>3020</v>
      </c>
    </row>
    <row r="53" spans="1:98" ht="15.75" customHeight="1" x14ac:dyDescent="0.2">
      <c r="A53" s="169" t="s">
        <v>202</v>
      </c>
      <c r="B53" s="139">
        <v>2875</v>
      </c>
      <c r="C53" s="179">
        <v>15.23</v>
      </c>
      <c r="D53" s="138">
        <v>2170</v>
      </c>
      <c r="E53" s="396"/>
      <c r="F53" s="183">
        <v>1</v>
      </c>
      <c r="G53" s="456">
        <v>90</v>
      </c>
      <c r="H53" s="456">
        <v>16</v>
      </c>
      <c r="I53" s="456">
        <v>1046</v>
      </c>
      <c r="J53" s="1028">
        <v>1</v>
      </c>
      <c r="K53" s="1028">
        <v>10</v>
      </c>
      <c r="L53" s="1028" t="s">
        <v>143</v>
      </c>
      <c r="M53" s="1028" t="s">
        <v>143</v>
      </c>
      <c r="N53" s="1029">
        <v>45</v>
      </c>
      <c r="O53" s="1030">
        <v>1116</v>
      </c>
      <c r="P53" s="1031">
        <v>743</v>
      </c>
      <c r="Q53" s="1028">
        <v>6</v>
      </c>
      <c r="R53" s="1029">
        <v>280</v>
      </c>
      <c r="S53" s="456">
        <v>7</v>
      </c>
      <c r="T53" s="456">
        <v>12</v>
      </c>
      <c r="U53" s="457">
        <v>775</v>
      </c>
      <c r="V53" s="456">
        <v>5</v>
      </c>
      <c r="W53" s="457">
        <v>250</v>
      </c>
      <c r="X53" s="456">
        <v>0</v>
      </c>
      <c r="Y53" s="457">
        <v>0</v>
      </c>
      <c r="Z53" s="197">
        <v>19</v>
      </c>
      <c r="AA53" s="402"/>
      <c r="AB53" s="183">
        <v>54291</v>
      </c>
      <c r="AC53" s="456">
        <v>11023</v>
      </c>
      <c r="AD53" s="456">
        <v>17034341134</v>
      </c>
      <c r="AE53" s="178">
        <v>98</v>
      </c>
      <c r="AF53" s="197">
        <v>4</v>
      </c>
      <c r="AG53" s="404"/>
      <c r="AH53" s="139">
        <v>36579</v>
      </c>
      <c r="AI53" s="171">
        <v>19.647115694489202</v>
      </c>
      <c r="AJ53" s="138">
        <v>23644</v>
      </c>
      <c r="AK53" s="171">
        <v>29.437617500217883</v>
      </c>
      <c r="AL53" s="1023">
        <v>408081</v>
      </c>
      <c r="AM53" s="196">
        <f>3069222427/(3279420187-1050700)*100</f>
        <v>93.620393893081641</v>
      </c>
      <c r="AN53" s="171">
        <v>34.799999999999997</v>
      </c>
      <c r="AO53" s="459">
        <v>38.299999999999997</v>
      </c>
      <c r="AP53" s="406"/>
      <c r="AQ53" s="139">
        <v>832</v>
      </c>
      <c r="AR53" s="407">
        <v>17.399999999999999</v>
      </c>
      <c r="AS53" s="174">
        <v>3544</v>
      </c>
      <c r="AT53" s="460">
        <v>74.400000000000006</v>
      </c>
      <c r="AU53" s="138">
        <v>2253</v>
      </c>
      <c r="AV53" s="461">
        <v>54.2</v>
      </c>
      <c r="AW53" s="174">
        <v>355</v>
      </c>
      <c r="AX53" s="460">
        <v>7.4</v>
      </c>
      <c r="AY53" s="138">
        <v>24</v>
      </c>
      <c r="AZ53" s="174">
        <v>1385</v>
      </c>
      <c r="BA53" s="174">
        <v>995</v>
      </c>
      <c r="BB53" s="174">
        <v>1306</v>
      </c>
      <c r="BC53" s="176">
        <v>773</v>
      </c>
      <c r="BD53" s="139">
        <v>19</v>
      </c>
      <c r="BE53" s="174">
        <v>1490</v>
      </c>
      <c r="BF53" s="174">
        <v>1110</v>
      </c>
      <c r="BG53" s="174">
        <v>1500</v>
      </c>
      <c r="BH53" s="174">
        <v>967</v>
      </c>
      <c r="BI53" s="138">
        <v>0</v>
      </c>
      <c r="BJ53" s="174">
        <v>0</v>
      </c>
      <c r="BK53" s="174">
        <v>0</v>
      </c>
      <c r="BL53" s="174">
        <v>0</v>
      </c>
      <c r="BM53" s="174">
        <v>0</v>
      </c>
      <c r="BN53" s="174">
        <v>0</v>
      </c>
      <c r="BO53" s="176">
        <v>0</v>
      </c>
      <c r="BP53" s="139">
        <v>10</v>
      </c>
      <c r="BQ53" s="174">
        <v>903</v>
      </c>
      <c r="BR53" s="174">
        <v>694</v>
      </c>
      <c r="BS53" s="174">
        <v>418</v>
      </c>
      <c r="BT53" s="174">
        <v>583</v>
      </c>
      <c r="BU53" s="174">
        <v>729</v>
      </c>
      <c r="BV53" s="176">
        <v>346</v>
      </c>
      <c r="BW53" s="139">
        <v>11</v>
      </c>
      <c r="BX53" s="462">
        <v>176</v>
      </c>
      <c r="BY53" s="174">
        <v>145</v>
      </c>
      <c r="BZ53" s="138">
        <v>0</v>
      </c>
      <c r="CA53" s="185">
        <v>12</v>
      </c>
      <c r="CB53" s="185">
        <v>13</v>
      </c>
      <c r="CC53" s="415"/>
      <c r="CD53" s="139">
        <v>12</v>
      </c>
      <c r="CE53" s="138">
        <v>1</v>
      </c>
      <c r="CF53" s="463">
        <v>3201</v>
      </c>
      <c r="CG53" s="138">
        <v>340</v>
      </c>
      <c r="CH53" s="464">
        <v>1719.303899452143</v>
      </c>
      <c r="CI53" s="138">
        <v>163</v>
      </c>
      <c r="CJ53" s="176">
        <v>98</v>
      </c>
      <c r="CK53" s="139">
        <v>536</v>
      </c>
      <c r="CL53" s="171">
        <v>287.89343645934042</v>
      </c>
      <c r="CM53" s="138">
        <v>136</v>
      </c>
      <c r="CN53" s="180">
        <v>73.047588355355032</v>
      </c>
      <c r="CO53" s="404"/>
      <c r="CP53" s="465">
        <v>190</v>
      </c>
      <c r="CQ53" s="465">
        <v>53</v>
      </c>
      <c r="CR53" s="465">
        <v>7093</v>
      </c>
      <c r="CS53" s="465">
        <v>1839</v>
      </c>
      <c r="CT53" s="465">
        <v>2367</v>
      </c>
    </row>
    <row r="54" spans="1:98" ht="15.75" customHeight="1" x14ac:dyDescent="0.2">
      <c r="A54" s="121" t="s">
        <v>203</v>
      </c>
      <c r="B54" s="186">
        <v>2642</v>
      </c>
      <c r="C54" s="192">
        <v>13.04</v>
      </c>
      <c r="D54" s="312">
        <v>2053</v>
      </c>
      <c r="E54" s="396"/>
      <c r="F54" s="193">
        <v>2</v>
      </c>
      <c r="G54" s="438">
        <v>110</v>
      </c>
      <c r="H54" s="438">
        <v>18</v>
      </c>
      <c r="I54" s="438">
        <v>1070</v>
      </c>
      <c r="J54" s="1032">
        <v>6</v>
      </c>
      <c r="K54" s="1032">
        <v>174</v>
      </c>
      <c r="L54" s="1032">
        <v>0</v>
      </c>
      <c r="M54" s="1032">
        <v>0</v>
      </c>
      <c r="N54" s="1033">
        <v>34</v>
      </c>
      <c r="O54" s="1034">
        <v>1081</v>
      </c>
      <c r="P54" s="1035">
        <v>762</v>
      </c>
      <c r="Q54" s="1032">
        <v>6</v>
      </c>
      <c r="R54" s="1033">
        <v>500</v>
      </c>
      <c r="S54" s="438">
        <v>0</v>
      </c>
      <c r="T54" s="438">
        <v>7</v>
      </c>
      <c r="U54" s="467">
        <v>532</v>
      </c>
      <c r="V54" s="438">
        <v>2</v>
      </c>
      <c r="W54" s="467">
        <v>236</v>
      </c>
      <c r="X54" s="438">
        <v>0</v>
      </c>
      <c r="Y54" s="467">
        <v>0</v>
      </c>
      <c r="Z54" s="202">
        <v>0</v>
      </c>
      <c r="AA54" s="402"/>
      <c r="AB54" s="193">
        <v>59134</v>
      </c>
      <c r="AC54" s="438">
        <v>12113</v>
      </c>
      <c r="AD54" s="438">
        <v>19115313913</v>
      </c>
      <c r="AE54" s="161">
        <v>99.2</v>
      </c>
      <c r="AF54" s="202">
        <v>6</v>
      </c>
      <c r="AG54" s="404"/>
      <c r="AH54" s="186">
        <v>34191</v>
      </c>
      <c r="AI54" s="162">
        <v>17</v>
      </c>
      <c r="AJ54" s="163">
        <v>23058</v>
      </c>
      <c r="AK54" s="162">
        <v>25.6</v>
      </c>
      <c r="AL54" s="163">
        <v>447443</v>
      </c>
      <c r="AM54" s="200">
        <v>94.99</v>
      </c>
      <c r="AN54" s="162">
        <v>49.2</v>
      </c>
      <c r="AO54" s="468">
        <v>27.6</v>
      </c>
      <c r="AP54" s="406"/>
      <c r="AQ54" s="186">
        <v>1443</v>
      </c>
      <c r="AR54" s="439">
        <v>26.91</v>
      </c>
      <c r="AS54" s="190">
        <v>3769</v>
      </c>
      <c r="AT54" s="440">
        <v>70.290000000000006</v>
      </c>
      <c r="AU54" s="163">
        <v>2928</v>
      </c>
      <c r="AV54" s="441">
        <v>63.55</v>
      </c>
      <c r="AW54" s="190">
        <v>654</v>
      </c>
      <c r="AX54" s="440">
        <v>12.19</v>
      </c>
      <c r="AY54" s="163">
        <v>16</v>
      </c>
      <c r="AZ54" s="190">
        <v>704</v>
      </c>
      <c r="BA54" s="190">
        <v>616</v>
      </c>
      <c r="BB54" s="190">
        <v>608</v>
      </c>
      <c r="BC54" s="159">
        <v>521</v>
      </c>
      <c r="BD54" s="186">
        <v>48</v>
      </c>
      <c r="BE54" s="190">
        <v>2234</v>
      </c>
      <c r="BF54" s="190">
        <v>2061</v>
      </c>
      <c r="BG54" s="190">
        <v>2427</v>
      </c>
      <c r="BH54" s="190">
        <v>1905</v>
      </c>
      <c r="BI54" s="163">
        <v>0</v>
      </c>
      <c r="BJ54" s="190">
        <v>0</v>
      </c>
      <c r="BK54" s="190">
        <v>0</v>
      </c>
      <c r="BL54" s="190">
        <v>0</v>
      </c>
      <c r="BM54" s="190">
        <v>0</v>
      </c>
      <c r="BN54" s="190">
        <v>0</v>
      </c>
      <c r="BO54" s="159">
        <v>0</v>
      </c>
      <c r="BP54" s="186">
        <v>15</v>
      </c>
      <c r="BQ54" s="190">
        <v>266</v>
      </c>
      <c r="BR54" s="190">
        <v>765</v>
      </c>
      <c r="BS54" s="190">
        <v>493</v>
      </c>
      <c r="BT54" s="190">
        <v>243</v>
      </c>
      <c r="BU54" s="190">
        <v>734</v>
      </c>
      <c r="BV54" s="159">
        <v>442</v>
      </c>
      <c r="BW54" s="186">
        <v>4</v>
      </c>
      <c r="BX54" s="415">
        <v>71</v>
      </c>
      <c r="BY54" s="190">
        <v>60</v>
      </c>
      <c r="BZ54" s="163">
        <v>0</v>
      </c>
      <c r="CA54" s="195">
        <v>2</v>
      </c>
      <c r="CB54" s="195">
        <v>9</v>
      </c>
      <c r="CC54" s="415"/>
      <c r="CD54" s="186">
        <v>11</v>
      </c>
      <c r="CE54" s="163">
        <v>1</v>
      </c>
      <c r="CF54" s="469">
        <v>3202</v>
      </c>
      <c r="CG54" s="163">
        <v>470</v>
      </c>
      <c r="CH54" s="442">
        <v>1594.2</v>
      </c>
      <c r="CI54" s="163">
        <v>222</v>
      </c>
      <c r="CJ54" s="159">
        <v>80</v>
      </c>
      <c r="CK54" s="186">
        <v>581</v>
      </c>
      <c r="CL54" s="162">
        <v>289.3</v>
      </c>
      <c r="CM54" s="163">
        <v>136</v>
      </c>
      <c r="CN54" s="164">
        <v>67.7</v>
      </c>
      <c r="CO54" s="404"/>
      <c r="CP54" s="443">
        <v>273</v>
      </c>
      <c r="CQ54" s="443">
        <v>60</v>
      </c>
      <c r="CR54" s="443">
        <v>8357</v>
      </c>
      <c r="CS54" s="443">
        <v>2247</v>
      </c>
      <c r="CT54" s="443">
        <v>2407</v>
      </c>
    </row>
    <row r="55" spans="1:98" ht="15.75" customHeight="1" x14ac:dyDescent="0.2">
      <c r="A55" s="169" t="s">
        <v>204</v>
      </c>
      <c r="B55" s="139">
        <v>7138</v>
      </c>
      <c r="C55" s="179">
        <v>14.8</v>
      </c>
      <c r="D55" s="138">
        <v>5318</v>
      </c>
      <c r="E55" s="396"/>
      <c r="F55" s="183">
        <v>2</v>
      </c>
      <c r="G55" s="456">
        <v>180</v>
      </c>
      <c r="H55" s="456">
        <v>24</v>
      </c>
      <c r="I55" s="456">
        <v>1665</v>
      </c>
      <c r="J55" s="1028">
        <v>16</v>
      </c>
      <c r="K55" s="1028">
        <v>429</v>
      </c>
      <c r="L55" s="1028">
        <v>0</v>
      </c>
      <c r="M55" s="1028">
        <v>0</v>
      </c>
      <c r="N55" s="1029">
        <v>56</v>
      </c>
      <c r="O55" s="1030">
        <v>2340</v>
      </c>
      <c r="P55" s="1031">
        <v>1350</v>
      </c>
      <c r="Q55" s="1028">
        <v>11</v>
      </c>
      <c r="R55" s="1029">
        <v>521</v>
      </c>
      <c r="S55" s="456">
        <v>4</v>
      </c>
      <c r="T55" s="456">
        <v>15</v>
      </c>
      <c r="U55" s="457">
        <v>1350</v>
      </c>
      <c r="V55" s="456">
        <v>1</v>
      </c>
      <c r="W55" s="457">
        <v>31</v>
      </c>
      <c r="X55" s="456">
        <v>2</v>
      </c>
      <c r="Y55" s="457">
        <v>202</v>
      </c>
      <c r="Z55" s="197">
        <v>36</v>
      </c>
      <c r="AA55" s="402"/>
      <c r="AB55" s="183">
        <v>131429</v>
      </c>
      <c r="AC55" s="456">
        <v>28409</v>
      </c>
      <c r="AD55" s="456">
        <v>39182513235</v>
      </c>
      <c r="AE55" s="178">
        <v>97.9</v>
      </c>
      <c r="AF55" s="197">
        <v>25</v>
      </c>
      <c r="AG55" s="404"/>
      <c r="AH55" s="139">
        <v>92421</v>
      </c>
      <c r="AI55" s="171">
        <v>19.2</v>
      </c>
      <c r="AJ55" s="138">
        <v>59304</v>
      </c>
      <c r="AK55" s="171">
        <v>27.8</v>
      </c>
      <c r="AL55" s="138">
        <v>424882</v>
      </c>
      <c r="AM55" s="196">
        <v>93.4</v>
      </c>
      <c r="AN55" s="171">
        <v>23.7</v>
      </c>
      <c r="AO55" s="459">
        <v>17.899999999999999</v>
      </c>
      <c r="AP55" s="406"/>
      <c r="AQ55" s="516">
        <v>1405</v>
      </c>
      <c r="AR55" s="517">
        <v>10.9</v>
      </c>
      <c r="AS55" s="174">
        <v>6841</v>
      </c>
      <c r="AT55" s="1053">
        <v>52.9</v>
      </c>
      <c r="AU55" s="1023">
        <v>5283</v>
      </c>
      <c r="AV55" s="1054">
        <v>44.3</v>
      </c>
      <c r="AW55" s="1052">
        <v>1401</v>
      </c>
      <c r="AX55" s="1053">
        <v>10.8</v>
      </c>
      <c r="AY55" s="138">
        <v>12</v>
      </c>
      <c r="AZ55" s="174">
        <v>1216</v>
      </c>
      <c r="BA55" s="174">
        <v>659</v>
      </c>
      <c r="BB55" s="174">
        <v>1058</v>
      </c>
      <c r="BC55" s="176">
        <v>532</v>
      </c>
      <c r="BD55" s="139">
        <v>68</v>
      </c>
      <c r="BE55" s="174">
        <v>4027</v>
      </c>
      <c r="BF55" s="174">
        <v>3293</v>
      </c>
      <c r="BG55" s="174">
        <v>4138</v>
      </c>
      <c r="BH55" s="174">
        <v>3007</v>
      </c>
      <c r="BI55" s="138">
        <v>6</v>
      </c>
      <c r="BJ55" s="174">
        <v>301</v>
      </c>
      <c r="BK55" s="174">
        <v>377</v>
      </c>
      <c r="BL55" s="174">
        <v>173</v>
      </c>
      <c r="BM55" s="174">
        <v>269</v>
      </c>
      <c r="BN55" s="174">
        <v>359</v>
      </c>
      <c r="BO55" s="176">
        <v>110</v>
      </c>
      <c r="BP55" s="139">
        <v>16</v>
      </c>
      <c r="BQ55" s="174">
        <v>1456</v>
      </c>
      <c r="BR55" s="174">
        <v>1076</v>
      </c>
      <c r="BS55" s="174">
        <v>732</v>
      </c>
      <c r="BT55" s="174">
        <v>1135</v>
      </c>
      <c r="BU55" s="174">
        <v>1174</v>
      </c>
      <c r="BV55" s="176">
        <v>629</v>
      </c>
      <c r="BW55" s="139">
        <v>29</v>
      </c>
      <c r="BX55" s="462">
        <v>571</v>
      </c>
      <c r="BY55" s="174">
        <v>415</v>
      </c>
      <c r="BZ55" s="138">
        <v>98</v>
      </c>
      <c r="CA55" s="185">
        <v>6</v>
      </c>
      <c r="CB55" s="185">
        <v>20</v>
      </c>
      <c r="CC55" s="415"/>
      <c r="CD55" s="139">
        <v>36</v>
      </c>
      <c r="CE55" s="138">
        <v>1</v>
      </c>
      <c r="CF55" s="463">
        <v>7700</v>
      </c>
      <c r="CG55" s="138">
        <v>198</v>
      </c>
      <c r="CH55" s="464">
        <v>1599</v>
      </c>
      <c r="CI55" s="138">
        <v>352</v>
      </c>
      <c r="CJ55" s="176">
        <v>225</v>
      </c>
      <c r="CK55" s="139">
        <v>1795</v>
      </c>
      <c r="CL55" s="171">
        <v>372.8</v>
      </c>
      <c r="CM55" s="138">
        <v>349</v>
      </c>
      <c r="CN55" s="180">
        <v>72.5</v>
      </c>
      <c r="CO55" s="404"/>
      <c r="CP55" s="465">
        <v>373</v>
      </c>
      <c r="CQ55" s="465">
        <v>137</v>
      </c>
      <c r="CR55" s="465">
        <v>16286</v>
      </c>
      <c r="CS55" s="465">
        <v>4082</v>
      </c>
      <c r="CT55" s="465">
        <v>4057</v>
      </c>
    </row>
    <row r="56" spans="1:98" ht="15.75" customHeight="1" x14ac:dyDescent="0.2">
      <c r="A56" s="121" t="s">
        <v>254</v>
      </c>
      <c r="B56" s="186">
        <v>3479</v>
      </c>
      <c r="C56" s="192">
        <v>16.02</v>
      </c>
      <c r="D56" s="163">
        <v>2762</v>
      </c>
      <c r="E56" s="396"/>
      <c r="F56" s="193">
        <v>3</v>
      </c>
      <c r="G56" s="438">
        <v>228</v>
      </c>
      <c r="H56" s="438">
        <v>15</v>
      </c>
      <c r="I56" s="438">
        <v>1140</v>
      </c>
      <c r="J56" s="1032">
        <v>4</v>
      </c>
      <c r="K56" s="1032">
        <v>107</v>
      </c>
      <c r="L56" s="1032" t="s">
        <v>143</v>
      </c>
      <c r="M56" s="1032" t="s">
        <v>143</v>
      </c>
      <c r="N56" s="1033">
        <v>7</v>
      </c>
      <c r="O56" s="1034">
        <v>232</v>
      </c>
      <c r="P56" s="1035">
        <v>650</v>
      </c>
      <c r="Q56" s="1032">
        <v>7</v>
      </c>
      <c r="R56" s="1033">
        <v>185</v>
      </c>
      <c r="S56" s="438">
        <v>4</v>
      </c>
      <c r="T56" s="438">
        <v>17</v>
      </c>
      <c r="U56" s="467">
        <v>1204</v>
      </c>
      <c r="V56" s="438">
        <v>4</v>
      </c>
      <c r="W56" s="467">
        <v>183</v>
      </c>
      <c r="X56" s="438">
        <v>2</v>
      </c>
      <c r="Y56" s="467">
        <v>38</v>
      </c>
      <c r="Z56" s="1034">
        <v>0</v>
      </c>
      <c r="AA56" s="402"/>
      <c r="AB56" s="193">
        <v>77387</v>
      </c>
      <c r="AC56" s="438">
        <v>13916</v>
      </c>
      <c r="AD56" s="438">
        <v>18935829771</v>
      </c>
      <c r="AE56" s="161">
        <v>99.5</v>
      </c>
      <c r="AF56" s="202">
        <v>8</v>
      </c>
      <c r="AG56" s="404"/>
      <c r="AH56" s="186">
        <v>40940</v>
      </c>
      <c r="AI56" s="162">
        <v>18.600000000000001</v>
      </c>
      <c r="AJ56" s="163">
        <v>28139</v>
      </c>
      <c r="AK56" s="162">
        <v>25.7</v>
      </c>
      <c r="AL56" s="163">
        <v>470613</v>
      </c>
      <c r="AM56" s="200">
        <v>95.82</v>
      </c>
      <c r="AN56" s="162">
        <v>28.4</v>
      </c>
      <c r="AO56" s="468">
        <v>24.1</v>
      </c>
      <c r="AP56" s="406"/>
      <c r="AQ56" s="228">
        <v>800</v>
      </c>
      <c r="AR56" s="1336">
        <v>17.8</v>
      </c>
      <c r="AS56" s="163">
        <v>2406</v>
      </c>
      <c r="AT56" s="1334">
        <v>53.6</v>
      </c>
      <c r="AU56" s="1315">
        <v>1544</v>
      </c>
      <c r="AV56" s="1059">
        <v>39.5</v>
      </c>
      <c r="AW56" s="1058">
        <v>661</v>
      </c>
      <c r="AX56" s="1334">
        <v>14.7</v>
      </c>
      <c r="AY56" s="163">
        <v>12</v>
      </c>
      <c r="AZ56" s="190">
        <v>456</v>
      </c>
      <c r="BA56" s="190">
        <v>334</v>
      </c>
      <c r="BB56" s="190">
        <v>380</v>
      </c>
      <c r="BC56" s="159">
        <v>265</v>
      </c>
      <c r="BD56" s="186">
        <v>24</v>
      </c>
      <c r="BE56" s="190">
        <v>1176</v>
      </c>
      <c r="BF56" s="190">
        <v>690</v>
      </c>
      <c r="BG56" s="190">
        <v>1105</v>
      </c>
      <c r="BH56" s="190">
        <v>705</v>
      </c>
      <c r="BI56" s="163" t="s">
        <v>143</v>
      </c>
      <c r="BJ56" s="190" t="s">
        <v>143</v>
      </c>
      <c r="BK56" s="190" t="s">
        <v>143</v>
      </c>
      <c r="BL56" s="190" t="s">
        <v>143</v>
      </c>
      <c r="BM56" s="190" t="s">
        <v>143</v>
      </c>
      <c r="BN56" s="190" t="s">
        <v>143</v>
      </c>
      <c r="BO56" s="159" t="s">
        <v>143</v>
      </c>
      <c r="BP56" s="186">
        <v>26</v>
      </c>
      <c r="BQ56" s="190">
        <v>730</v>
      </c>
      <c r="BR56" s="1056">
        <v>961</v>
      </c>
      <c r="BS56" s="1056">
        <v>575</v>
      </c>
      <c r="BT56" s="190">
        <v>589</v>
      </c>
      <c r="BU56" s="190">
        <v>913</v>
      </c>
      <c r="BV56" s="159">
        <v>542</v>
      </c>
      <c r="BW56" s="186">
        <v>3</v>
      </c>
      <c r="BX56" s="415">
        <v>57</v>
      </c>
      <c r="BY56" s="190">
        <v>44</v>
      </c>
      <c r="BZ56" s="163">
        <v>0</v>
      </c>
      <c r="CA56" s="195">
        <v>3</v>
      </c>
      <c r="CB56" s="195">
        <v>11</v>
      </c>
      <c r="CC56" s="415"/>
      <c r="CD56" s="186">
        <v>26</v>
      </c>
      <c r="CE56" s="163">
        <v>1</v>
      </c>
      <c r="CF56" s="469">
        <v>4257</v>
      </c>
      <c r="CG56" s="163">
        <v>49</v>
      </c>
      <c r="CH56" s="442">
        <v>1932</v>
      </c>
      <c r="CI56" s="1058">
        <v>231</v>
      </c>
      <c r="CJ56" s="1073">
        <v>144</v>
      </c>
      <c r="CK56" s="186">
        <v>743</v>
      </c>
      <c r="CL56" s="162">
        <v>337.2</v>
      </c>
      <c r="CM56" s="163">
        <v>225</v>
      </c>
      <c r="CN56" s="164">
        <v>102.1</v>
      </c>
      <c r="CO56" s="404"/>
      <c r="CP56" s="1075">
        <v>229</v>
      </c>
      <c r="CQ56" s="1075">
        <v>56</v>
      </c>
      <c r="CR56" s="443">
        <v>9925</v>
      </c>
      <c r="CS56" s="443">
        <v>2365</v>
      </c>
      <c r="CT56" s="443">
        <v>2565</v>
      </c>
    </row>
    <row r="57" spans="1:98" ht="15.75" customHeight="1" x14ac:dyDescent="0.2">
      <c r="A57" s="169" t="s">
        <v>207</v>
      </c>
      <c r="B57" s="139">
        <v>6152</v>
      </c>
      <c r="C57" s="179">
        <v>13.32</v>
      </c>
      <c r="D57" s="138">
        <v>4794</v>
      </c>
      <c r="E57" s="396"/>
      <c r="F57" s="183">
        <v>1</v>
      </c>
      <c r="G57" s="456">
        <v>80</v>
      </c>
      <c r="H57" s="456">
        <v>23</v>
      </c>
      <c r="I57" s="456">
        <v>1394</v>
      </c>
      <c r="J57" s="1028">
        <v>25</v>
      </c>
      <c r="K57" s="1028">
        <v>649</v>
      </c>
      <c r="L57" s="1028">
        <v>1</v>
      </c>
      <c r="M57" s="1028">
        <v>50</v>
      </c>
      <c r="N57" s="1029">
        <v>41</v>
      </c>
      <c r="O57" s="1030">
        <v>1035</v>
      </c>
      <c r="P57" s="1031">
        <v>1668</v>
      </c>
      <c r="Q57" s="1028">
        <v>11</v>
      </c>
      <c r="R57" s="1029">
        <v>430</v>
      </c>
      <c r="S57" s="456">
        <v>5</v>
      </c>
      <c r="T57" s="456">
        <v>14</v>
      </c>
      <c r="U57" s="457">
        <v>1113</v>
      </c>
      <c r="V57" s="456">
        <v>1</v>
      </c>
      <c r="W57" s="457">
        <v>50</v>
      </c>
      <c r="X57" s="456">
        <v>8</v>
      </c>
      <c r="Y57" s="457">
        <v>203</v>
      </c>
      <c r="Z57" s="197">
        <v>32</v>
      </c>
      <c r="AA57" s="402"/>
      <c r="AB57" s="183">
        <v>132439</v>
      </c>
      <c r="AC57" s="456">
        <v>27349</v>
      </c>
      <c r="AD57" s="456">
        <v>35145527879</v>
      </c>
      <c r="AE57" s="178">
        <v>99.52</v>
      </c>
      <c r="AF57" s="197">
        <v>15</v>
      </c>
      <c r="AG57" s="404"/>
      <c r="AH57" s="139">
        <v>90611</v>
      </c>
      <c r="AI57" s="171">
        <v>19.399999999999999</v>
      </c>
      <c r="AJ57" s="138">
        <v>58860</v>
      </c>
      <c r="AK57" s="171">
        <v>27.8</v>
      </c>
      <c r="AL57" s="138">
        <v>388959</v>
      </c>
      <c r="AM57" s="196">
        <v>91.34</v>
      </c>
      <c r="AN57" s="171">
        <v>26.9</v>
      </c>
      <c r="AO57" s="459">
        <v>21.1</v>
      </c>
      <c r="AP57" s="406"/>
      <c r="AQ57" s="516">
        <v>2448</v>
      </c>
      <c r="AR57" s="517">
        <v>20.260000000000002</v>
      </c>
      <c r="AS57" s="138">
        <v>7686</v>
      </c>
      <c r="AT57" s="518">
        <v>63.62</v>
      </c>
      <c r="AU57" s="170">
        <v>4544</v>
      </c>
      <c r="AV57" s="461">
        <v>40.840000000000003</v>
      </c>
      <c r="AW57" s="138">
        <v>1102</v>
      </c>
      <c r="AX57" s="518">
        <v>9.1199999999999992</v>
      </c>
      <c r="AY57" s="138">
        <v>47</v>
      </c>
      <c r="AZ57" s="174">
        <v>2898</v>
      </c>
      <c r="BA57" s="174">
        <v>1567</v>
      </c>
      <c r="BB57" s="174">
        <v>2624</v>
      </c>
      <c r="BC57" s="176">
        <v>1014</v>
      </c>
      <c r="BD57" s="139">
        <v>30</v>
      </c>
      <c r="BE57" s="174">
        <v>1831</v>
      </c>
      <c r="BF57" s="174">
        <v>1325</v>
      </c>
      <c r="BG57" s="174">
        <v>1875</v>
      </c>
      <c r="BH57" s="174">
        <v>1173</v>
      </c>
      <c r="BI57" s="138">
        <v>2</v>
      </c>
      <c r="BJ57" s="174">
        <v>150</v>
      </c>
      <c r="BK57" s="174">
        <v>150</v>
      </c>
      <c r="BL57" s="174">
        <v>75</v>
      </c>
      <c r="BM57" s="174">
        <v>123</v>
      </c>
      <c r="BN57" s="174">
        <v>149</v>
      </c>
      <c r="BO57" s="176">
        <v>54</v>
      </c>
      <c r="BP57" s="139">
        <v>43</v>
      </c>
      <c r="BQ57" s="174">
        <v>1293</v>
      </c>
      <c r="BR57" s="174">
        <v>3125</v>
      </c>
      <c r="BS57" s="174">
        <v>2302</v>
      </c>
      <c r="BT57" s="174">
        <v>1040</v>
      </c>
      <c r="BU57" s="174">
        <v>3037</v>
      </c>
      <c r="BV57" s="176">
        <v>1890</v>
      </c>
      <c r="BW57" s="139">
        <v>31</v>
      </c>
      <c r="BX57" s="462">
        <v>493</v>
      </c>
      <c r="BY57" s="174">
        <v>390</v>
      </c>
      <c r="BZ57" s="138">
        <v>5</v>
      </c>
      <c r="CA57" s="185">
        <v>1</v>
      </c>
      <c r="CB57" s="185">
        <v>34</v>
      </c>
      <c r="CC57" s="415"/>
      <c r="CD57" s="139">
        <v>41</v>
      </c>
      <c r="CE57" s="138">
        <v>1</v>
      </c>
      <c r="CF57" s="463">
        <v>6213</v>
      </c>
      <c r="CG57" s="138">
        <v>506</v>
      </c>
      <c r="CH57" s="464">
        <v>1328</v>
      </c>
      <c r="CI57" s="1023">
        <v>360</v>
      </c>
      <c r="CJ57" s="1074">
        <v>237</v>
      </c>
      <c r="CK57" s="139">
        <v>1002</v>
      </c>
      <c r="CL57" s="171">
        <v>214.17</v>
      </c>
      <c r="CM57" s="138">
        <v>345</v>
      </c>
      <c r="CN57" s="180">
        <v>73.739999999999995</v>
      </c>
      <c r="CO57" s="404"/>
      <c r="CP57" s="465">
        <v>409</v>
      </c>
      <c r="CQ57" s="465">
        <v>151</v>
      </c>
      <c r="CR57" s="465">
        <v>17408</v>
      </c>
      <c r="CS57" s="465">
        <v>4081</v>
      </c>
      <c r="CT57" s="465">
        <v>5529</v>
      </c>
    </row>
    <row r="58" spans="1:98" ht="15.75" customHeight="1" x14ac:dyDescent="0.2">
      <c r="A58" s="121" t="s">
        <v>209</v>
      </c>
      <c r="B58" s="186">
        <v>3930</v>
      </c>
      <c r="C58" s="192">
        <v>15.29</v>
      </c>
      <c r="D58" s="163">
        <v>3213</v>
      </c>
      <c r="E58" s="396"/>
      <c r="F58" s="193">
        <v>3</v>
      </c>
      <c r="G58" s="438">
        <v>260</v>
      </c>
      <c r="H58" s="438">
        <v>17</v>
      </c>
      <c r="I58" s="438">
        <v>1057</v>
      </c>
      <c r="J58" s="1032">
        <v>19</v>
      </c>
      <c r="K58" s="1032">
        <v>524</v>
      </c>
      <c r="L58" s="1032">
        <v>2</v>
      </c>
      <c r="M58" s="1032">
        <v>170</v>
      </c>
      <c r="N58" s="1033">
        <v>65</v>
      </c>
      <c r="O58" s="1034">
        <v>2080</v>
      </c>
      <c r="P58" s="1035">
        <v>1079</v>
      </c>
      <c r="Q58" s="1032">
        <v>9</v>
      </c>
      <c r="R58" s="1033">
        <v>460</v>
      </c>
      <c r="S58" s="438">
        <v>1</v>
      </c>
      <c r="T58" s="438">
        <v>12</v>
      </c>
      <c r="U58" s="467">
        <v>837</v>
      </c>
      <c r="V58" s="438">
        <v>6</v>
      </c>
      <c r="W58" s="467">
        <v>325</v>
      </c>
      <c r="X58" s="438">
        <v>3</v>
      </c>
      <c r="Y58" s="467">
        <v>68</v>
      </c>
      <c r="Z58" s="202">
        <v>14</v>
      </c>
      <c r="AA58" s="402"/>
      <c r="AB58" s="193">
        <v>91454</v>
      </c>
      <c r="AC58" s="438">
        <v>19630</v>
      </c>
      <c r="AD58" s="438">
        <v>23869319946</v>
      </c>
      <c r="AE58" s="161">
        <v>97.3</v>
      </c>
      <c r="AF58" s="202">
        <v>12</v>
      </c>
      <c r="AG58" s="404"/>
      <c r="AH58" s="186">
        <v>54877</v>
      </c>
      <c r="AI58" s="162">
        <v>21.2</v>
      </c>
      <c r="AJ58" s="163">
        <v>37114</v>
      </c>
      <c r="AK58" s="162">
        <v>28.5</v>
      </c>
      <c r="AL58" s="163">
        <v>479637</v>
      </c>
      <c r="AM58" s="200">
        <v>93.5</v>
      </c>
      <c r="AN58" s="162">
        <v>23.4</v>
      </c>
      <c r="AO58" s="468">
        <v>5.4</v>
      </c>
      <c r="AP58" s="406"/>
      <c r="AQ58" s="228">
        <v>1388</v>
      </c>
      <c r="AR58" s="519">
        <v>25.1</v>
      </c>
      <c r="AS58" s="163">
        <v>3488</v>
      </c>
      <c r="AT58" s="520">
        <v>63.2</v>
      </c>
      <c r="AU58" s="187">
        <v>1870</v>
      </c>
      <c r="AV58" s="441">
        <v>39.1</v>
      </c>
      <c r="AW58" s="163">
        <v>219</v>
      </c>
      <c r="AX58" s="520">
        <v>4</v>
      </c>
      <c r="AY58" s="190">
        <v>10</v>
      </c>
      <c r="AZ58" s="163">
        <v>460</v>
      </c>
      <c r="BA58" s="190">
        <v>380</v>
      </c>
      <c r="BB58" s="190">
        <v>487</v>
      </c>
      <c r="BC58" s="159">
        <v>271</v>
      </c>
      <c r="BD58" s="228">
        <v>26</v>
      </c>
      <c r="BE58" s="163">
        <v>1790</v>
      </c>
      <c r="BF58" s="415">
        <v>1098</v>
      </c>
      <c r="BG58" s="190">
        <v>1747</v>
      </c>
      <c r="BH58" s="190">
        <v>1012</v>
      </c>
      <c r="BI58" s="163">
        <v>9</v>
      </c>
      <c r="BJ58" s="190">
        <v>175</v>
      </c>
      <c r="BK58" s="190">
        <v>580</v>
      </c>
      <c r="BL58" s="190">
        <v>345</v>
      </c>
      <c r="BM58" s="190">
        <v>139</v>
      </c>
      <c r="BN58" s="190">
        <v>555</v>
      </c>
      <c r="BO58" s="159">
        <v>254</v>
      </c>
      <c r="BP58" s="186">
        <v>14</v>
      </c>
      <c r="BQ58" s="190">
        <v>824</v>
      </c>
      <c r="BR58" s="190">
        <v>688</v>
      </c>
      <c r="BS58" s="190">
        <v>313</v>
      </c>
      <c r="BT58" s="190">
        <v>707</v>
      </c>
      <c r="BU58" s="190">
        <v>689</v>
      </c>
      <c r="BV58" s="159">
        <v>291</v>
      </c>
      <c r="BW58" s="186" t="s">
        <v>143</v>
      </c>
      <c r="BX58" s="415" t="s">
        <v>143</v>
      </c>
      <c r="BY58" s="190" t="s">
        <v>143</v>
      </c>
      <c r="BZ58" s="163">
        <v>6</v>
      </c>
      <c r="CA58" s="195">
        <v>4</v>
      </c>
      <c r="CB58" s="195">
        <f>12+5</f>
        <v>17</v>
      </c>
      <c r="CC58" s="415"/>
      <c r="CD58" s="186">
        <v>26</v>
      </c>
      <c r="CE58" s="163">
        <v>1</v>
      </c>
      <c r="CF58" s="469">
        <v>5553</v>
      </c>
      <c r="CG58" s="163">
        <v>71</v>
      </c>
      <c r="CH58" s="442">
        <v>2141.1999999999998</v>
      </c>
      <c r="CI58" s="1058">
        <v>275</v>
      </c>
      <c r="CJ58" s="1073">
        <v>137</v>
      </c>
      <c r="CK58" s="186">
        <v>710</v>
      </c>
      <c r="CL58" s="162">
        <v>270</v>
      </c>
      <c r="CM58" s="163">
        <v>220</v>
      </c>
      <c r="CN58" s="164">
        <v>84.8</v>
      </c>
      <c r="CO58" s="404"/>
      <c r="CP58" s="443">
        <v>120</v>
      </c>
      <c r="CQ58" s="443">
        <v>31</v>
      </c>
      <c r="CR58" s="443">
        <v>13076</v>
      </c>
      <c r="CS58" s="443">
        <v>2397</v>
      </c>
      <c r="CT58" s="443">
        <v>2620</v>
      </c>
    </row>
    <row r="59" spans="1:98" ht="15.75" customHeight="1" x14ac:dyDescent="0.2">
      <c r="A59" s="169" t="s">
        <v>210</v>
      </c>
      <c r="B59" s="139">
        <v>6205</v>
      </c>
      <c r="C59" s="179">
        <v>14.89</v>
      </c>
      <c r="D59" s="138">
        <v>4916</v>
      </c>
      <c r="E59" s="396"/>
      <c r="F59" s="183">
        <v>2</v>
      </c>
      <c r="G59" s="456">
        <v>200</v>
      </c>
      <c r="H59" s="456">
        <v>28</v>
      </c>
      <c r="I59" s="456">
        <v>1697</v>
      </c>
      <c r="J59" s="1028" t="s">
        <v>139</v>
      </c>
      <c r="K59" s="1028" t="s">
        <v>139</v>
      </c>
      <c r="L59" s="1028" t="s">
        <v>139</v>
      </c>
      <c r="M59" s="1028" t="s">
        <v>139</v>
      </c>
      <c r="N59" s="1029">
        <v>114</v>
      </c>
      <c r="O59" s="1030">
        <v>3785</v>
      </c>
      <c r="P59" s="1031">
        <v>1408</v>
      </c>
      <c r="Q59" s="1028">
        <v>12.263999999999999</v>
      </c>
      <c r="R59" s="1029">
        <v>468</v>
      </c>
      <c r="S59" s="456">
        <v>1</v>
      </c>
      <c r="T59" s="456">
        <v>18</v>
      </c>
      <c r="U59" s="457">
        <v>1283</v>
      </c>
      <c r="V59" s="456" t="s">
        <v>143</v>
      </c>
      <c r="W59" s="457" t="s">
        <v>143</v>
      </c>
      <c r="X59" s="456">
        <v>4</v>
      </c>
      <c r="Y59" s="457">
        <v>126</v>
      </c>
      <c r="Z59" s="197">
        <v>9</v>
      </c>
      <c r="AA59" s="402"/>
      <c r="AB59" s="183">
        <v>118145</v>
      </c>
      <c r="AC59" s="456">
        <v>25191</v>
      </c>
      <c r="AD59" s="456">
        <v>37059787532</v>
      </c>
      <c r="AE59" s="178">
        <v>97.9</v>
      </c>
      <c r="AF59" s="197">
        <v>1</v>
      </c>
      <c r="AG59" s="404"/>
      <c r="AH59" s="139">
        <v>80146</v>
      </c>
      <c r="AI59" s="171">
        <v>18.858000000000001</v>
      </c>
      <c r="AJ59" s="138">
        <v>52781</v>
      </c>
      <c r="AK59" s="171">
        <v>26.561</v>
      </c>
      <c r="AL59" s="138">
        <v>445870</v>
      </c>
      <c r="AM59" s="196">
        <v>90.7</v>
      </c>
      <c r="AN59" s="171">
        <v>45.5</v>
      </c>
      <c r="AO59" s="459">
        <v>38.700000000000003</v>
      </c>
      <c r="AP59" s="406"/>
      <c r="AQ59" s="516">
        <v>1341</v>
      </c>
      <c r="AR59" s="1071">
        <v>12.263999999999999</v>
      </c>
      <c r="AS59" s="138">
        <v>5855</v>
      </c>
      <c r="AT59" s="518">
        <v>53.521000000000001</v>
      </c>
      <c r="AU59" s="170">
        <v>4056</v>
      </c>
      <c r="AV59" s="461">
        <v>41.573999999999998</v>
      </c>
      <c r="AW59" s="138">
        <v>1154</v>
      </c>
      <c r="AX59" s="518">
        <v>10.554</v>
      </c>
      <c r="AY59" s="174">
        <v>28</v>
      </c>
      <c r="AZ59" s="138">
        <v>1867</v>
      </c>
      <c r="BA59" s="174">
        <v>1318</v>
      </c>
      <c r="BB59" s="138">
        <v>1709</v>
      </c>
      <c r="BC59" s="176">
        <v>1106</v>
      </c>
      <c r="BD59" s="516">
        <v>37</v>
      </c>
      <c r="BE59" s="138">
        <v>2391</v>
      </c>
      <c r="BF59" s="462">
        <v>1943</v>
      </c>
      <c r="BG59" s="138">
        <v>2303</v>
      </c>
      <c r="BH59" s="462">
        <v>1650</v>
      </c>
      <c r="BI59" s="138">
        <v>8</v>
      </c>
      <c r="BJ59" s="174">
        <v>484</v>
      </c>
      <c r="BK59" s="174">
        <v>667</v>
      </c>
      <c r="BL59" s="174">
        <v>447</v>
      </c>
      <c r="BM59" s="174">
        <v>219</v>
      </c>
      <c r="BN59" s="174">
        <v>570</v>
      </c>
      <c r="BO59" s="176">
        <v>324</v>
      </c>
      <c r="BP59" s="139">
        <v>20</v>
      </c>
      <c r="BQ59" s="174">
        <v>1727</v>
      </c>
      <c r="BR59" s="174">
        <v>1094</v>
      </c>
      <c r="BS59" s="174">
        <v>1004</v>
      </c>
      <c r="BT59" s="174">
        <v>1122</v>
      </c>
      <c r="BU59" s="174">
        <v>1270</v>
      </c>
      <c r="BV59" s="176">
        <v>786</v>
      </c>
      <c r="BW59" s="139">
        <v>18</v>
      </c>
      <c r="BX59" s="462">
        <v>272</v>
      </c>
      <c r="BY59" s="174">
        <v>190</v>
      </c>
      <c r="BZ59" s="138">
        <v>59</v>
      </c>
      <c r="CA59" s="185">
        <v>13</v>
      </c>
      <c r="CB59" s="185">
        <v>29</v>
      </c>
      <c r="CC59" s="415"/>
      <c r="CD59" s="139">
        <v>34</v>
      </c>
      <c r="CE59" s="138">
        <v>2</v>
      </c>
      <c r="CF59" s="463">
        <v>6492</v>
      </c>
      <c r="CG59" s="138">
        <v>392</v>
      </c>
      <c r="CH59" s="464">
        <v>1527.55</v>
      </c>
      <c r="CI59" s="1023">
        <v>415</v>
      </c>
      <c r="CJ59" s="1074">
        <v>239</v>
      </c>
      <c r="CK59" s="139">
        <v>1260</v>
      </c>
      <c r="CL59" s="171">
        <v>285.2</v>
      </c>
      <c r="CM59" s="138">
        <v>344</v>
      </c>
      <c r="CN59" s="180">
        <v>79.8</v>
      </c>
      <c r="CO59" s="404"/>
      <c r="CP59" s="465">
        <v>387</v>
      </c>
      <c r="CQ59" s="465">
        <v>84</v>
      </c>
      <c r="CR59" s="465">
        <v>18032</v>
      </c>
      <c r="CS59" s="465">
        <v>3245</v>
      </c>
      <c r="CT59" s="465">
        <v>3082</v>
      </c>
    </row>
    <row r="60" spans="1:98" ht="15.75" customHeight="1" x14ac:dyDescent="0.2">
      <c r="A60" s="121" t="s">
        <v>212</v>
      </c>
      <c r="B60" s="186">
        <v>11662</v>
      </c>
      <c r="C60" s="192">
        <v>22.91</v>
      </c>
      <c r="D60" s="163">
        <v>9648</v>
      </c>
      <c r="E60" s="396"/>
      <c r="F60" s="193">
        <v>2</v>
      </c>
      <c r="G60" s="438">
        <v>300</v>
      </c>
      <c r="H60" s="438">
        <v>25</v>
      </c>
      <c r="I60" s="438">
        <v>1593</v>
      </c>
      <c r="J60" s="438">
        <v>21</v>
      </c>
      <c r="K60" s="438">
        <v>573</v>
      </c>
      <c r="L60" s="438">
        <v>1</v>
      </c>
      <c r="M60" s="438">
        <v>50</v>
      </c>
      <c r="N60" s="467">
        <v>68</v>
      </c>
      <c r="O60" s="202">
        <v>2719</v>
      </c>
      <c r="P60" s="404">
        <v>2040</v>
      </c>
      <c r="Q60" s="438">
        <v>12</v>
      </c>
      <c r="R60" s="467">
        <v>390</v>
      </c>
      <c r="S60" s="438">
        <v>3</v>
      </c>
      <c r="T60" s="438">
        <v>15</v>
      </c>
      <c r="U60" s="467">
        <v>1274</v>
      </c>
      <c r="V60" s="438">
        <v>1</v>
      </c>
      <c r="W60" s="467">
        <v>53</v>
      </c>
      <c r="X60" s="438">
        <v>5</v>
      </c>
      <c r="Y60" s="467">
        <v>116</v>
      </c>
      <c r="Z60" s="202">
        <v>1</v>
      </c>
      <c r="AA60" s="402"/>
      <c r="AB60" s="193">
        <v>141422</v>
      </c>
      <c r="AC60" s="438">
        <v>30983</v>
      </c>
      <c r="AD60" s="438">
        <v>44810414379</v>
      </c>
      <c r="AE60" s="161">
        <v>99.1</v>
      </c>
      <c r="AF60" s="202">
        <v>12</v>
      </c>
      <c r="AG60" s="404"/>
      <c r="AH60" s="186">
        <v>103311</v>
      </c>
      <c r="AI60" s="162">
        <v>20.3</v>
      </c>
      <c r="AJ60" s="163">
        <v>68259</v>
      </c>
      <c r="AK60" s="162">
        <v>27.2</v>
      </c>
      <c r="AL60" s="163">
        <v>402786</v>
      </c>
      <c r="AM60" s="200">
        <v>94.2</v>
      </c>
      <c r="AN60" s="162">
        <v>31.5</v>
      </c>
      <c r="AO60" s="468">
        <v>28.4</v>
      </c>
      <c r="AP60" s="406"/>
      <c r="AQ60" s="228">
        <v>4197</v>
      </c>
      <c r="AR60" s="519">
        <v>32.6</v>
      </c>
      <c r="AS60" s="163">
        <v>4756</v>
      </c>
      <c r="AT60" s="520">
        <v>37</v>
      </c>
      <c r="AU60" s="187">
        <v>3398</v>
      </c>
      <c r="AV60" s="441">
        <v>29.5</v>
      </c>
      <c r="AW60" s="163">
        <v>2465</v>
      </c>
      <c r="AX60" s="520">
        <v>19.2</v>
      </c>
      <c r="AY60" s="190">
        <v>23</v>
      </c>
      <c r="AZ60" s="163">
        <v>1562</v>
      </c>
      <c r="BA60" s="190">
        <v>1028</v>
      </c>
      <c r="BB60" s="163">
        <v>1389</v>
      </c>
      <c r="BC60" s="159">
        <v>744</v>
      </c>
      <c r="BD60" s="228">
        <v>22</v>
      </c>
      <c r="BE60" s="163">
        <v>951</v>
      </c>
      <c r="BF60" s="415">
        <v>889</v>
      </c>
      <c r="BG60" s="163">
        <v>1023</v>
      </c>
      <c r="BH60" s="415">
        <v>767</v>
      </c>
      <c r="BI60" s="163">
        <v>2</v>
      </c>
      <c r="BJ60" s="163">
        <v>15</v>
      </c>
      <c r="BK60" s="163">
        <v>51</v>
      </c>
      <c r="BL60" s="190">
        <v>25</v>
      </c>
      <c r="BM60" s="190">
        <v>1</v>
      </c>
      <c r="BN60" s="190">
        <v>22</v>
      </c>
      <c r="BO60" s="159">
        <v>12</v>
      </c>
      <c r="BP60" s="186">
        <v>41</v>
      </c>
      <c r="BQ60" s="190">
        <v>3668</v>
      </c>
      <c r="BR60" s="190">
        <v>1884</v>
      </c>
      <c r="BS60" s="190">
        <v>1205</v>
      </c>
      <c r="BT60" s="190">
        <v>2877</v>
      </c>
      <c r="BU60" s="190">
        <v>2100</v>
      </c>
      <c r="BV60" s="159">
        <v>1184</v>
      </c>
      <c r="BW60" s="186">
        <v>33</v>
      </c>
      <c r="BX60" s="190">
        <v>611</v>
      </c>
      <c r="BY60" s="190">
        <v>493</v>
      </c>
      <c r="BZ60" s="163">
        <v>42</v>
      </c>
      <c r="CA60" s="159">
        <v>8</v>
      </c>
      <c r="CB60" s="159">
        <v>31</v>
      </c>
      <c r="CC60" s="415"/>
      <c r="CD60" s="186">
        <v>42</v>
      </c>
      <c r="CE60" s="163" t="s">
        <v>143</v>
      </c>
      <c r="CF60" s="469">
        <v>8510</v>
      </c>
      <c r="CG60" s="163" t="s">
        <v>143</v>
      </c>
      <c r="CH60" s="442">
        <v>1669.3</v>
      </c>
      <c r="CI60" s="1058">
        <v>500</v>
      </c>
      <c r="CJ60" s="1073">
        <v>253</v>
      </c>
      <c r="CK60" s="186">
        <v>1603</v>
      </c>
      <c r="CL60" s="162">
        <v>313.7</v>
      </c>
      <c r="CM60" s="163">
        <v>373</v>
      </c>
      <c r="CN60" s="164">
        <v>73</v>
      </c>
      <c r="CO60" s="404"/>
      <c r="CP60" s="521">
        <v>558</v>
      </c>
      <c r="CQ60" s="522">
        <v>134</v>
      </c>
      <c r="CR60" s="522">
        <v>18204</v>
      </c>
      <c r="CS60" s="522">
        <v>4007</v>
      </c>
      <c r="CT60" s="522">
        <v>4331</v>
      </c>
    </row>
    <row r="61" spans="1:98" ht="15.75" customHeight="1" x14ac:dyDescent="0.2">
      <c r="A61" s="169" t="s">
        <v>213</v>
      </c>
      <c r="B61" s="139">
        <v>11362</v>
      </c>
      <c r="C61" s="179">
        <v>34.5</v>
      </c>
      <c r="D61" s="138">
        <v>8905</v>
      </c>
      <c r="E61" s="396"/>
      <c r="F61" s="183">
        <v>2</v>
      </c>
      <c r="G61" s="456">
        <v>210</v>
      </c>
      <c r="H61" s="456">
        <v>15</v>
      </c>
      <c r="I61" s="456">
        <v>1166</v>
      </c>
      <c r="J61" s="456">
        <v>2</v>
      </c>
      <c r="K61" s="456">
        <v>47</v>
      </c>
      <c r="L61" s="456">
        <v>1</v>
      </c>
      <c r="M61" s="456">
        <v>60</v>
      </c>
      <c r="N61" s="457">
        <v>35</v>
      </c>
      <c r="O61" s="197">
        <v>1411</v>
      </c>
      <c r="P61" s="458">
        <v>912</v>
      </c>
      <c r="Q61" s="456">
        <v>5</v>
      </c>
      <c r="R61" s="457">
        <v>309</v>
      </c>
      <c r="S61" s="456">
        <v>11</v>
      </c>
      <c r="T61" s="456">
        <v>8</v>
      </c>
      <c r="U61" s="457">
        <v>475</v>
      </c>
      <c r="V61" s="456">
        <v>10</v>
      </c>
      <c r="W61" s="457">
        <v>779</v>
      </c>
      <c r="X61" s="456">
        <v>6</v>
      </c>
      <c r="Y61" s="457">
        <v>248</v>
      </c>
      <c r="Z61" s="197">
        <v>4</v>
      </c>
      <c r="AA61" s="402"/>
      <c r="AB61" s="183">
        <v>96512</v>
      </c>
      <c r="AC61" s="456">
        <v>19714</v>
      </c>
      <c r="AD61" s="456">
        <v>27736724487</v>
      </c>
      <c r="AE61" s="178">
        <v>98.9</v>
      </c>
      <c r="AF61" s="197">
        <v>11</v>
      </c>
      <c r="AG61" s="404"/>
      <c r="AH61" s="139">
        <v>64156</v>
      </c>
      <c r="AI61" s="171">
        <v>19.7</v>
      </c>
      <c r="AJ61" s="138">
        <v>43109</v>
      </c>
      <c r="AK61" s="171">
        <v>26.4</v>
      </c>
      <c r="AL61" s="138">
        <v>438410</v>
      </c>
      <c r="AM61" s="196">
        <v>92.92</v>
      </c>
      <c r="AN61" s="171">
        <v>31.5</v>
      </c>
      <c r="AO61" s="459">
        <v>26.1</v>
      </c>
      <c r="AP61" s="406"/>
      <c r="AQ61" s="516">
        <v>958</v>
      </c>
      <c r="AR61" s="517">
        <v>12.6</v>
      </c>
      <c r="AS61" s="138">
        <v>6291</v>
      </c>
      <c r="AT61" s="518">
        <v>82.5</v>
      </c>
      <c r="AU61" s="170">
        <v>4436</v>
      </c>
      <c r="AV61" s="461">
        <v>63.1</v>
      </c>
      <c r="AW61" s="138">
        <v>744</v>
      </c>
      <c r="AX61" s="518">
        <v>9.8000000000000007</v>
      </c>
      <c r="AY61" s="174">
        <v>23</v>
      </c>
      <c r="AZ61" s="138">
        <v>1706</v>
      </c>
      <c r="BA61" s="174">
        <v>1028</v>
      </c>
      <c r="BB61" s="138">
        <v>1312</v>
      </c>
      <c r="BC61" s="176">
        <v>818</v>
      </c>
      <c r="BD61" s="516">
        <v>61</v>
      </c>
      <c r="BE61" s="138">
        <v>3922</v>
      </c>
      <c r="BF61" s="462">
        <v>2682</v>
      </c>
      <c r="BG61" s="138">
        <v>3806</v>
      </c>
      <c r="BH61" s="462">
        <v>2598</v>
      </c>
      <c r="BI61" s="138">
        <v>0</v>
      </c>
      <c r="BJ61" s="174">
        <v>0</v>
      </c>
      <c r="BK61" s="174">
        <v>0</v>
      </c>
      <c r="BL61" s="174">
        <v>0</v>
      </c>
      <c r="BM61" s="174">
        <v>0</v>
      </c>
      <c r="BN61" s="174">
        <v>0</v>
      </c>
      <c r="BO61" s="176">
        <v>0</v>
      </c>
      <c r="BP61" s="139">
        <v>20</v>
      </c>
      <c r="BQ61" s="174">
        <v>921</v>
      </c>
      <c r="BR61" s="174">
        <v>1198</v>
      </c>
      <c r="BS61" s="174">
        <v>774</v>
      </c>
      <c r="BT61" s="174">
        <v>733</v>
      </c>
      <c r="BU61" s="174">
        <v>1059</v>
      </c>
      <c r="BV61" s="176">
        <v>596</v>
      </c>
      <c r="BW61" s="139">
        <v>19</v>
      </c>
      <c r="BX61" s="462">
        <v>286</v>
      </c>
      <c r="BY61" s="174">
        <v>170</v>
      </c>
      <c r="BZ61" s="138">
        <v>26</v>
      </c>
      <c r="CA61" s="185">
        <v>9</v>
      </c>
      <c r="CB61" s="185">
        <v>15</v>
      </c>
      <c r="CC61" s="415"/>
      <c r="CD61" s="139">
        <v>61</v>
      </c>
      <c r="CE61" s="138" t="s">
        <v>143</v>
      </c>
      <c r="CF61" s="463">
        <v>10024</v>
      </c>
      <c r="CG61" s="138" t="s">
        <v>143</v>
      </c>
      <c r="CH61" s="464">
        <v>3077.6</v>
      </c>
      <c r="CI61" s="1023">
        <v>266</v>
      </c>
      <c r="CJ61" s="1074">
        <v>199</v>
      </c>
      <c r="CK61" s="139">
        <v>1260</v>
      </c>
      <c r="CL61" s="171">
        <v>384.1</v>
      </c>
      <c r="CM61" s="138">
        <v>298</v>
      </c>
      <c r="CN61" s="180">
        <v>90.8</v>
      </c>
      <c r="CO61" s="404"/>
      <c r="CP61" s="465">
        <v>356</v>
      </c>
      <c r="CQ61" s="465">
        <v>93</v>
      </c>
      <c r="CR61" s="465">
        <v>14375</v>
      </c>
      <c r="CS61" s="465">
        <v>2804</v>
      </c>
      <c r="CT61" s="465">
        <v>3380</v>
      </c>
    </row>
    <row r="62" spans="1:98" ht="15.75" customHeight="1" x14ac:dyDescent="0.2">
      <c r="A62" s="121" t="s">
        <v>215</v>
      </c>
      <c r="B62" s="186">
        <v>6572</v>
      </c>
      <c r="C62" s="192">
        <v>21.7</v>
      </c>
      <c r="D62" s="312">
        <v>5186</v>
      </c>
      <c r="E62" s="396"/>
      <c r="F62" s="193">
        <v>1</v>
      </c>
      <c r="G62" s="438">
        <v>125</v>
      </c>
      <c r="H62" s="438">
        <v>9</v>
      </c>
      <c r="I62" s="438">
        <v>560</v>
      </c>
      <c r="J62" s="438">
        <v>19</v>
      </c>
      <c r="K62" s="438">
        <v>508</v>
      </c>
      <c r="L62" s="163">
        <v>1</v>
      </c>
      <c r="M62" s="163">
        <v>50</v>
      </c>
      <c r="N62" s="467">
        <v>71</v>
      </c>
      <c r="O62" s="202">
        <v>2579</v>
      </c>
      <c r="P62" s="404">
        <v>1089</v>
      </c>
      <c r="Q62" s="438">
        <v>7</v>
      </c>
      <c r="R62" s="467">
        <v>270</v>
      </c>
      <c r="S62" s="438">
        <v>2</v>
      </c>
      <c r="T62" s="438">
        <v>8</v>
      </c>
      <c r="U62" s="467">
        <v>700</v>
      </c>
      <c r="V62" s="438">
        <v>3</v>
      </c>
      <c r="W62" s="467">
        <v>170</v>
      </c>
      <c r="X62" s="438" t="s">
        <v>143</v>
      </c>
      <c r="Y62" s="467" t="s">
        <v>143</v>
      </c>
      <c r="Z62" s="202">
        <v>28</v>
      </c>
      <c r="AA62" s="402"/>
      <c r="AB62" s="193">
        <v>82298</v>
      </c>
      <c r="AC62" s="438">
        <v>16033</v>
      </c>
      <c r="AD62" s="438">
        <v>24484610653</v>
      </c>
      <c r="AE62" s="161">
        <v>98</v>
      </c>
      <c r="AF62" s="202">
        <v>11</v>
      </c>
      <c r="AG62" s="404"/>
      <c r="AH62" s="186">
        <v>65628</v>
      </c>
      <c r="AI62" s="162">
        <v>21.5</v>
      </c>
      <c r="AJ62" s="163">
        <v>40467</v>
      </c>
      <c r="AK62" s="162">
        <v>29.7</v>
      </c>
      <c r="AL62" s="163">
        <v>411833</v>
      </c>
      <c r="AM62" s="200">
        <v>94.69</v>
      </c>
      <c r="AN62" s="162">
        <v>39.700000000000003</v>
      </c>
      <c r="AO62" s="468">
        <v>19.399999999999999</v>
      </c>
      <c r="AP62" s="406"/>
      <c r="AQ62" s="228">
        <v>1665</v>
      </c>
      <c r="AR62" s="519">
        <v>20</v>
      </c>
      <c r="AS62" s="163">
        <v>5097</v>
      </c>
      <c r="AT62" s="520">
        <v>60</v>
      </c>
      <c r="AU62" s="187">
        <v>3594</v>
      </c>
      <c r="AV62" s="441">
        <v>45</v>
      </c>
      <c r="AW62" s="163">
        <v>1297</v>
      </c>
      <c r="AX62" s="520">
        <v>15</v>
      </c>
      <c r="AY62" s="190">
        <v>9</v>
      </c>
      <c r="AZ62" s="163">
        <v>760</v>
      </c>
      <c r="BA62" s="190">
        <v>430</v>
      </c>
      <c r="BB62" s="163">
        <v>645</v>
      </c>
      <c r="BC62" s="159">
        <v>336</v>
      </c>
      <c r="BD62" s="228">
        <v>58</v>
      </c>
      <c r="BE62" s="163">
        <v>3965</v>
      </c>
      <c r="BF62" s="415">
        <v>3000</v>
      </c>
      <c r="BG62" s="163">
        <v>4018</v>
      </c>
      <c r="BH62" s="415">
        <v>2792</v>
      </c>
      <c r="BI62" s="163" t="s">
        <v>143</v>
      </c>
      <c r="BJ62" s="190" t="s">
        <v>143</v>
      </c>
      <c r="BK62" s="190" t="s">
        <v>143</v>
      </c>
      <c r="BL62" s="190" t="s">
        <v>143</v>
      </c>
      <c r="BM62" s="190" t="s">
        <v>143</v>
      </c>
      <c r="BN62" s="190" t="s">
        <v>143</v>
      </c>
      <c r="BO62" s="159" t="s">
        <v>143</v>
      </c>
      <c r="BP62" s="186">
        <v>17</v>
      </c>
      <c r="BQ62" s="190">
        <v>1670</v>
      </c>
      <c r="BR62" s="190">
        <v>333</v>
      </c>
      <c r="BS62" s="190">
        <v>481</v>
      </c>
      <c r="BT62" s="190">
        <v>1276</v>
      </c>
      <c r="BU62" s="190">
        <v>401</v>
      </c>
      <c r="BV62" s="159">
        <v>409</v>
      </c>
      <c r="BW62" s="186">
        <v>3</v>
      </c>
      <c r="BX62" s="415">
        <v>70</v>
      </c>
      <c r="BY62" s="190">
        <v>35</v>
      </c>
      <c r="BZ62" s="163">
        <v>65</v>
      </c>
      <c r="CA62" s="195" t="s">
        <v>143</v>
      </c>
      <c r="CB62" s="195">
        <v>9</v>
      </c>
      <c r="CC62" s="415"/>
      <c r="CD62" s="186">
        <v>32</v>
      </c>
      <c r="CE62" s="163" t="s">
        <v>143</v>
      </c>
      <c r="CF62" s="469">
        <v>7257</v>
      </c>
      <c r="CG62" s="163" t="s">
        <v>143</v>
      </c>
      <c r="CH62" s="442">
        <v>2381.6</v>
      </c>
      <c r="CI62" s="1058">
        <v>314</v>
      </c>
      <c r="CJ62" s="1073">
        <v>196</v>
      </c>
      <c r="CK62" s="186">
        <v>1771</v>
      </c>
      <c r="CL62" s="162">
        <v>581.20000000000005</v>
      </c>
      <c r="CM62" s="163">
        <v>315</v>
      </c>
      <c r="CN62" s="164">
        <v>103.4</v>
      </c>
      <c r="CO62" s="404"/>
      <c r="CP62" s="443">
        <v>353</v>
      </c>
      <c r="CQ62" s="443">
        <v>58</v>
      </c>
      <c r="CR62" s="443">
        <v>12190</v>
      </c>
      <c r="CS62" s="443">
        <v>2594</v>
      </c>
      <c r="CT62" s="443">
        <v>3437</v>
      </c>
    </row>
    <row r="63" spans="1:98" ht="15.75" customHeight="1" x14ac:dyDescent="0.2">
      <c r="A63" s="169" t="s">
        <v>216</v>
      </c>
      <c r="B63" s="139">
        <v>12261</v>
      </c>
      <c r="C63" s="179">
        <v>30.1</v>
      </c>
      <c r="D63" s="138">
        <v>9418</v>
      </c>
      <c r="E63" s="396"/>
      <c r="F63" s="458">
        <v>8</v>
      </c>
      <c r="G63" s="456">
        <v>390</v>
      </c>
      <c r="H63" s="456">
        <v>28</v>
      </c>
      <c r="I63" s="456">
        <v>1650</v>
      </c>
      <c r="J63" s="456">
        <v>17</v>
      </c>
      <c r="K63" s="456">
        <v>455</v>
      </c>
      <c r="L63" s="456">
        <v>3</v>
      </c>
      <c r="M63" s="456">
        <v>150</v>
      </c>
      <c r="N63" s="456">
        <v>77</v>
      </c>
      <c r="O63" s="501">
        <v>2297</v>
      </c>
      <c r="P63" s="458">
        <v>1765</v>
      </c>
      <c r="Q63" s="456">
        <v>11</v>
      </c>
      <c r="R63" s="457">
        <v>519</v>
      </c>
      <c r="S63" s="456">
        <v>4</v>
      </c>
      <c r="T63" s="456">
        <v>17</v>
      </c>
      <c r="U63" s="456">
        <v>1333</v>
      </c>
      <c r="V63" s="456">
        <v>1</v>
      </c>
      <c r="W63" s="456">
        <v>6</v>
      </c>
      <c r="X63" s="456">
        <v>5</v>
      </c>
      <c r="Y63" s="456">
        <v>95</v>
      </c>
      <c r="Z63" s="197">
        <v>10</v>
      </c>
      <c r="AA63" s="402"/>
      <c r="AB63" s="458">
        <v>134172</v>
      </c>
      <c r="AC63" s="456">
        <v>29148</v>
      </c>
      <c r="AD63" s="456">
        <v>41015351339</v>
      </c>
      <c r="AE63" s="178">
        <v>98.13</v>
      </c>
      <c r="AF63" s="501">
        <v>20</v>
      </c>
      <c r="AG63" s="404"/>
      <c r="AH63" s="516">
        <v>93695</v>
      </c>
      <c r="AI63" s="171">
        <v>22.6</v>
      </c>
      <c r="AJ63" s="138">
        <v>62312</v>
      </c>
      <c r="AK63" s="171">
        <v>30.2</v>
      </c>
      <c r="AL63" s="138">
        <v>485031</v>
      </c>
      <c r="AM63" s="196">
        <v>91.7</v>
      </c>
      <c r="AN63" s="171">
        <v>32.200000000000003</v>
      </c>
      <c r="AO63" s="459">
        <v>43.9</v>
      </c>
      <c r="AP63" s="406"/>
      <c r="AQ63" s="516">
        <v>1691</v>
      </c>
      <c r="AR63" s="517">
        <v>17.7</v>
      </c>
      <c r="AS63" s="138">
        <v>6047</v>
      </c>
      <c r="AT63" s="518">
        <v>63.4</v>
      </c>
      <c r="AU63" s="170">
        <v>4107</v>
      </c>
      <c r="AV63" s="461">
        <v>47.7</v>
      </c>
      <c r="AW63" s="138">
        <v>792</v>
      </c>
      <c r="AX63" s="518">
        <v>8.3000000000000007</v>
      </c>
      <c r="AY63" s="174">
        <v>5</v>
      </c>
      <c r="AZ63" s="138">
        <v>354</v>
      </c>
      <c r="BA63" s="174">
        <v>196</v>
      </c>
      <c r="BB63" s="138">
        <v>214</v>
      </c>
      <c r="BC63" s="176">
        <v>128</v>
      </c>
      <c r="BD63" s="516">
        <v>78</v>
      </c>
      <c r="BE63" s="138">
        <v>3548</v>
      </c>
      <c r="BF63" s="462">
        <v>2733</v>
      </c>
      <c r="BG63" s="138">
        <v>3588</v>
      </c>
      <c r="BH63" s="462">
        <v>2574</v>
      </c>
      <c r="BI63" s="138">
        <v>1</v>
      </c>
      <c r="BJ63" s="174">
        <v>45</v>
      </c>
      <c r="BK63" s="174">
        <v>45</v>
      </c>
      <c r="BL63" s="174">
        <v>27</v>
      </c>
      <c r="BM63" s="174">
        <v>25</v>
      </c>
      <c r="BN63" s="174">
        <v>40</v>
      </c>
      <c r="BO63" s="176">
        <v>22</v>
      </c>
      <c r="BP63" s="516">
        <v>43</v>
      </c>
      <c r="BQ63" s="174">
        <v>2400</v>
      </c>
      <c r="BR63" s="174">
        <v>2009</v>
      </c>
      <c r="BS63" s="174">
        <v>1594</v>
      </c>
      <c r="BT63" s="174">
        <v>1666</v>
      </c>
      <c r="BU63" s="174">
        <v>2200</v>
      </c>
      <c r="BV63" s="176">
        <v>1378</v>
      </c>
      <c r="BW63" s="139">
        <v>1</v>
      </c>
      <c r="BX63" s="462">
        <v>18</v>
      </c>
      <c r="BY63" s="174">
        <v>10</v>
      </c>
      <c r="BZ63" s="138">
        <v>0</v>
      </c>
      <c r="CA63" s="185">
        <v>4</v>
      </c>
      <c r="CB63" s="185">
        <v>11</v>
      </c>
      <c r="CC63" s="415"/>
      <c r="CD63" s="516">
        <v>46</v>
      </c>
      <c r="CE63" s="138" t="s">
        <v>143</v>
      </c>
      <c r="CF63" s="463">
        <v>10766</v>
      </c>
      <c r="CG63" s="170" t="s">
        <v>143</v>
      </c>
      <c r="CH63" s="523">
        <v>2601.5</v>
      </c>
      <c r="CI63" s="1023">
        <v>534</v>
      </c>
      <c r="CJ63" s="1074">
        <v>272</v>
      </c>
      <c r="CK63" s="139">
        <v>2034</v>
      </c>
      <c r="CL63" s="171">
        <v>491.5</v>
      </c>
      <c r="CM63" s="138">
        <v>578</v>
      </c>
      <c r="CN63" s="459">
        <v>139.69999999999999</v>
      </c>
      <c r="CO63" s="404"/>
      <c r="CP63" s="465">
        <v>479</v>
      </c>
      <c r="CQ63" s="465">
        <v>166</v>
      </c>
      <c r="CR63" s="465">
        <v>22840</v>
      </c>
      <c r="CS63" s="465">
        <v>4301</v>
      </c>
      <c r="CT63" s="465">
        <v>4679</v>
      </c>
    </row>
    <row r="64" spans="1:98" ht="15.75" customHeight="1" x14ac:dyDescent="0.2">
      <c r="A64" s="121" t="s">
        <v>217</v>
      </c>
      <c r="B64" s="186">
        <v>5104</v>
      </c>
      <c r="C64" s="192">
        <v>20.9</v>
      </c>
      <c r="D64" s="163">
        <v>4019</v>
      </c>
      <c r="E64" s="396"/>
      <c r="F64" s="404">
        <v>4</v>
      </c>
      <c r="G64" s="438">
        <v>285</v>
      </c>
      <c r="H64" s="438">
        <v>20</v>
      </c>
      <c r="I64" s="438">
        <v>1198</v>
      </c>
      <c r="J64" s="438">
        <v>5</v>
      </c>
      <c r="K64" s="438">
        <v>126</v>
      </c>
      <c r="L64" s="438">
        <v>0</v>
      </c>
      <c r="M64" s="438">
        <v>0</v>
      </c>
      <c r="N64" s="438">
        <v>38</v>
      </c>
      <c r="O64" s="202">
        <v>1044</v>
      </c>
      <c r="P64" s="193">
        <v>930</v>
      </c>
      <c r="Q64" s="524">
        <v>8</v>
      </c>
      <c r="R64" s="402">
        <v>400</v>
      </c>
      <c r="S64" s="438">
        <v>3</v>
      </c>
      <c r="T64" s="438">
        <v>11</v>
      </c>
      <c r="U64" s="524">
        <v>807</v>
      </c>
      <c r="V64" s="438">
        <v>3</v>
      </c>
      <c r="W64" s="524">
        <v>140</v>
      </c>
      <c r="X64" s="438">
        <v>5</v>
      </c>
      <c r="Y64" s="524">
        <v>44</v>
      </c>
      <c r="Z64" s="202">
        <v>2</v>
      </c>
      <c r="AA64" s="402"/>
      <c r="AB64" s="404">
        <v>77946</v>
      </c>
      <c r="AC64" s="438">
        <v>15428</v>
      </c>
      <c r="AD64" s="438">
        <v>22769907829</v>
      </c>
      <c r="AE64" s="161">
        <v>96.38</v>
      </c>
      <c r="AF64" s="202">
        <v>9</v>
      </c>
      <c r="AG64" s="404"/>
      <c r="AH64" s="186">
        <v>52554</v>
      </c>
      <c r="AI64" s="162">
        <v>21.27</v>
      </c>
      <c r="AJ64" s="163">
        <v>34336</v>
      </c>
      <c r="AK64" s="162">
        <v>28.37</v>
      </c>
      <c r="AL64" s="163">
        <v>422249</v>
      </c>
      <c r="AM64" s="162">
        <v>92.59</v>
      </c>
      <c r="AN64" s="162">
        <v>34.200000000000003</v>
      </c>
      <c r="AO64" s="468">
        <v>63.3</v>
      </c>
      <c r="AP64" s="406"/>
      <c r="AQ64" s="228">
        <v>2021</v>
      </c>
      <c r="AR64" s="519">
        <f>(AQ64/6337)*100</f>
        <v>31.892062490137292</v>
      </c>
      <c r="AS64" s="163">
        <v>3888</v>
      </c>
      <c r="AT64" s="441">
        <f>(AS64/6337)*100</f>
        <v>61.35395297459366</v>
      </c>
      <c r="AU64" s="163">
        <v>2772</v>
      </c>
      <c r="AV64" s="441">
        <f>(AU64/5842)*100</f>
        <v>47.449503594659362</v>
      </c>
      <c r="AW64" s="163">
        <v>657</v>
      </c>
      <c r="AX64" s="441">
        <f>(AW64/6337)*100</f>
        <v>10.367681868391983</v>
      </c>
      <c r="AY64" s="163">
        <v>3</v>
      </c>
      <c r="AZ64" s="163">
        <v>84</v>
      </c>
      <c r="BA64" s="163">
        <v>136</v>
      </c>
      <c r="BB64" s="163">
        <v>124</v>
      </c>
      <c r="BC64" s="159">
        <v>73</v>
      </c>
      <c r="BD64" s="228">
        <v>55</v>
      </c>
      <c r="BE64" s="163">
        <v>2242</v>
      </c>
      <c r="BF64" s="163">
        <v>2303</v>
      </c>
      <c r="BG64" s="163">
        <v>2288</v>
      </c>
      <c r="BH64" s="163">
        <v>1824</v>
      </c>
      <c r="BI64" s="151" t="s">
        <v>143</v>
      </c>
      <c r="BJ64" s="151" t="s">
        <v>143</v>
      </c>
      <c r="BK64" s="151" t="s">
        <v>143</v>
      </c>
      <c r="BL64" s="155" t="s">
        <v>143</v>
      </c>
      <c r="BM64" s="155" t="s">
        <v>143</v>
      </c>
      <c r="BN64" s="151" t="s">
        <v>143</v>
      </c>
      <c r="BO64" s="452" t="s">
        <v>143</v>
      </c>
      <c r="BP64" s="150">
        <v>37</v>
      </c>
      <c r="BQ64" s="163">
        <v>2300</v>
      </c>
      <c r="BR64" s="163">
        <v>1438</v>
      </c>
      <c r="BS64" s="163">
        <v>911</v>
      </c>
      <c r="BT64" s="163">
        <v>1638</v>
      </c>
      <c r="BU64" s="163">
        <v>1431</v>
      </c>
      <c r="BV64" s="159">
        <v>813</v>
      </c>
      <c r="BW64" s="186">
        <v>4</v>
      </c>
      <c r="BX64" s="163">
        <v>47</v>
      </c>
      <c r="BY64" s="163">
        <v>24</v>
      </c>
      <c r="BZ64" s="163">
        <v>0</v>
      </c>
      <c r="CA64" s="159">
        <v>9</v>
      </c>
      <c r="CB64" s="159">
        <v>10</v>
      </c>
      <c r="CC64" s="415"/>
      <c r="CD64" s="228">
        <v>24</v>
      </c>
      <c r="CE64" s="163" t="s">
        <v>143</v>
      </c>
      <c r="CF64" s="469">
        <v>5264</v>
      </c>
      <c r="CG64" s="187" t="s">
        <v>143</v>
      </c>
      <c r="CH64" s="442">
        <v>2130.3000000000002</v>
      </c>
      <c r="CI64" s="1058">
        <v>225</v>
      </c>
      <c r="CJ64" s="1073">
        <v>131</v>
      </c>
      <c r="CK64" s="186">
        <v>695</v>
      </c>
      <c r="CL64" s="162">
        <v>281.3</v>
      </c>
      <c r="CM64" s="163">
        <v>190</v>
      </c>
      <c r="CN64" s="164">
        <v>76.900000000000006</v>
      </c>
      <c r="CO64" s="404"/>
      <c r="CP64" s="443">
        <v>301</v>
      </c>
      <c r="CQ64" s="443">
        <v>68</v>
      </c>
      <c r="CR64" s="443">
        <v>13383</v>
      </c>
      <c r="CS64" s="443">
        <v>2855</v>
      </c>
      <c r="CT64" s="443">
        <v>2809</v>
      </c>
    </row>
    <row r="65" spans="1:98" ht="15.75" customHeight="1" x14ac:dyDescent="0.2">
      <c r="A65" s="169" t="s">
        <v>219</v>
      </c>
      <c r="B65" s="139">
        <v>8537</v>
      </c>
      <c r="C65" s="179">
        <v>17.88</v>
      </c>
      <c r="D65" s="138">
        <v>7019</v>
      </c>
      <c r="E65" s="396"/>
      <c r="F65" s="458">
        <v>1</v>
      </c>
      <c r="G65" s="456">
        <v>65</v>
      </c>
      <c r="H65" s="456">
        <v>20</v>
      </c>
      <c r="I65" s="456">
        <v>1124</v>
      </c>
      <c r="J65" s="456">
        <v>15</v>
      </c>
      <c r="K65" s="456">
        <v>362</v>
      </c>
      <c r="L65" s="456">
        <v>1</v>
      </c>
      <c r="M65" s="456">
        <v>50</v>
      </c>
      <c r="N65" s="456">
        <v>149</v>
      </c>
      <c r="O65" s="501">
        <v>5145</v>
      </c>
      <c r="P65" s="458">
        <v>1617</v>
      </c>
      <c r="Q65" s="456">
        <v>7</v>
      </c>
      <c r="R65" s="457">
        <v>350</v>
      </c>
      <c r="S65" s="456" t="s">
        <v>143</v>
      </c>
      <c r="T65" s="456">
        <v>20</v>
      </c>
      <c r="U65" s="456">
        <v>1164</v>
      </c>
      <c r="V65" s="456">
        <v>1</v>
      </c>
      <c r="W65" s="456">
        <v>9</v>
      </c>
      <c r="X65" s="456">
        <v>3</v>
      </c>
      <c r="Y65" s="456">
        <v>24</v>
      </c>
      <c r="Z65" s="197">
        <v>7</v>
      </c>
      <c r="AA65" s="402"/>
      <c r="AB65" s="458">
        <v>129071</v>
      </c>
      <c r="AC65" s="456">
        <v>24860</v>
      </c>
      <c r="AD65" s="456">
        <v>36210489424</v>
      </c>
      <c r="AE65" s="178">
        <v>96.9</v>
      </c>
      <c r="AF65" s="501">
        <v>23</v>
      </c>
      <c r="AG65" s="404"/>
      <c r="AH65" s="516">
        <v>88368</v>
      </c>
      <c r="AI65" s="171">
        <v>18.5</v>
      </c>
      <c r="AJ65" s="138">
        <v>57740</v>
      </c>
      <c r="AK65" s="171">
        <v>25.9</v>
      </c>
      <c r="AL65" s="138">
        <v>449028</v>
      </c>
      <c r="AM65" s="1047">
        <v>94.7</v>
      </c>
      <c r="AN65" s="171">
        <v>33.299999999999997</v>
      </c>
      <c r="AO65" s="459">
        <v>22.4</v>
      </c>
      <c r="AP65" s="406"/>
      <c r="AQ65" s="516">
        <v>2826</v>
      </c>
      <c r="AR65" s="517">
        <v>22</v>
      </c>
      <c r="AS65" s="138">
        <v>6378</v>
      </c>
      <c r="AT65" s="518">
        <v>49.8</v>
      </c>
      <c r="AU65" s="170">
        <v>4059</v>
      </c>
      <c r="AV65" s="461">
        <v>34.5</v>
      </c>
      <c r="AW65" s="138">
        <v>1484</v>
      </c>
      <c r="AX65" s="518">
        <v>11.6</v>
      </c>
      <c r="AY65" s="174">
        <v>13</v>
      </c>
      <c r="AZ65" s="138">
        <v>788</v>
      </c>
      <c r="BA65" s="174">
        <v>278</v>
      </c>
      <c r="BB65" s="138">
        <v>706</v>
      </c>
      <c r="BC65" s="176">
        <v>345</v>
      </c>
      <c r="BD65" s="516">
        <v>58</v>
      </c>
      <c r="BE65" s="138">
        <v>2731</v>
      </c>
      <c r="BF65" s="462">
        <v>2080</v>
      </c>
      <c r="BG65" s="138">
        <v>2682</v>
      </c>
      <c r="BH65" s="462">
        <v>1893</v>
      </c>
      <c r="BI65" s="138" t="s">
        <v>143</v>
      </c>
      <c r="BJ65" s="174" t="s">
        <v>143</v>
      </c>
      <c r="BK65" s="174" t="s">
        <v>143</v>
      </c>
      <c r="BL65" s="174" t="s">
        <v>143</v>
      </c>
      <c r="BM65" s="174" t="s">
        <v>143</v>
      </c>
      <c r="BN65" s="174" t="s">
        <v>143</v>
      </c>
      <c r="BO65" s="176" t="s">
        <v>143</v>
      </c>
      <c r="BP65" s="516">
        <v>50</v>
      </c>
      <c r="BQ65" s="174">
        <v>2286</v>
      </c>
      <c r="BR65" s="174">
        <v>3083</v>
      </c>
      <c r="BS65" s="174">
        <v>2152</v>
      </c>
      <c r="BT65" s="174">
        <v>1937</v>
      </c>
      <c r="BU65" s="174">
        <v>2967</v>
      </c>
      <c r="BV65" s="176">
        <v>1935</v>
      </c>
      <c r="BW65" s="139">
        <v>16</v>
      </c>
      <c r="BX65" s="462">
        <v>289</v>
      </c>
      <c r="BY65" s="174">
        <v>244</v>
      </c>
      <c r="BZ65" s="138">
        <v>0</v>
      </c>
      <c r="CA65" s="185">
        <v>1</v>
      </c>
      <c r="CB65" s="185">
        <v>12</v>
      </c>
      <c r="CC65" s="228"/>
      <c r="CD65" s="139">
        <v>53</v>
      </c>
      <c r="CE65" s="138" t="s">
        <v>143</v>
      </c>
      <c r="CF65" s="463">
        <v>8934</v>
      </c>
      <c r="CG65" s="170" t="s">
        <v>143</v>
      </c>
      <c r="CH65" s="523">
        <v>1871.4</v>
      </c>
      <c r="CI65" s="1023">
        <v>387</v>
      </c>
      <c r="CJ65" s="1074">
        <v>228</v>
      </c>
      <c r="CK65" s="139">
        <v>1277</v>
      </c>
      <c r="CL65" s="171">
        <v>267.5</v>
      </c>
      <c r="CM65" s="138">
        <v>318</v>
      </c>
      <c r="CN65" s="459">
        <v>66.599999999999994</v>
      </c>
      <c r="CO65" s="404"/>
      <c r="CP65" s="465">
        <v>558</v>
      </c>
      <c r="CQ65" s="465">
        <v>131</v>
      </c>
      <c r="CR65" s="465">
        <v>21387</v>
      </c>
      <c r="CS65" s="465">
        <v>4121</v>
      </c>
      <c r="CT65" s="465">
        <v>4563</v>
      </c>
    </row>
    <row r="66" spans="1:98" ht="15.75" customHeight="1" x14ac:dyDescent="0.2">
      <c r="A66" s="121" t="s">
        <v>220</v>
      </c>
      <c r="B66" s="186">
        <v>8583</v>
      </c>
      <c r="C66" s="192">
        <v>21.6</v>
      </c>
      <c r="D66" s="163">
        <v>6842</v>
      </c>
      <c r="E66" s="396"/>
      <c r="F66" s="404">
        <v>6</v>
      </c>
      <c r="G66" s="438">
        <v>344</v>
      </c>
      <c r="H66" s="438">
        <v>24</v>
      </c>
      <c r="I66" s="438">
        <v>1517</v>
      </c>
      <c r="J66" s="438">
        <v>1</v>
      </c>
      <c r="K66" s="438">
        <v>22</v>
      </c>
      <c r="L66" s="438">
        <v>2</v>
      </c>
      <c r="M66" s="438">
        <v>100</v>
      </c>
      <c r="N66" s="438">
        <v>192</v>
      </c>
      <c r="O66" s="202">
        <v>4920</v>
      </c>
      <c r="P66" s="193">
        <v>1499</v>
      </c>
      <c r="Q66" s="524">
        <v>7</v>
      </c>
      <c r="R66" s="402">
        <v>280</v>
      </c>
      <c r="S66" s="438">
        <v>3</v>
      </c>
      <c r="T66" s="438">
        <v>13</v>
      </c>
      <c r="U66" s="524">
        <v>1042</v>
      </c>
      <c r="V66" s="438">
        <v>1</v>
      </c>
      <c r="W66" s="524">
        <v>57</v>
      </c>
      <c r="X66" s="438">
        <v>6</v>
      </c>
      <c r="Y66" s="524">
        <v>125</v>
      </c>
      <c r="Z66" s="202">
        <v>3</v>
      </c>
      <c r="AA66" s="402"/>
      <c r="AB66" s="404">
        <v>111545</v>
      </c>
      <c r="AC66" s="438">
        <v>18493</v>
      </c>
      <c r="AD66" s="438">
        <v>31228490672</v>
      </c>
      <c r="AE66" s="161">
        <v>97.22</v>
      </c>
      <c r="AF66" s="202">
        <v>19</v>
      </c>
      <c r="AG66" s="404"/>
      <c r="AH66" s="186">
        <v>88824</v>
      </c>
      <c r="AI66" s="162">
        <v>22.1</v>
      </c>
      <c r="AJ66" s="163">
        <v>57156</v>
      </c>
      <c r="AK66" s="162">
        <v>29</v>
      </c>
      <c r="AL66" s="163">
        <v>385501</v>
      </c>
      <c r="AM66" s="162">
        <v>92.4</v>
      </c>
      <c r="AN66" s="162">
        <v>28.4</v>
      </c>
      <c r="AO66" s="468">
        <v>15.9</v>
      </c>
      <c r="AP66" s="406"/>
      <c r="AQ66" s="228">
        <v>3096</v>
      </c>
      <c r="AR66" s="519">
        <v>28.16</v>
      </c>
      <c r="AS66" s="163">
        <v>6894</v>
      </c>
      <c r="AT66" s="441">
        <v>62.95</v>
      </c>
      <c r="AU66" s="163">
        <v>5278</v>
      </c>
      <c r="AV66" s="441">
        <v>53.21</v>
      </c>
      <c r="AW66" s="163">
        <v>1337</v>
      </c>
      <c r="AX66" s="441">
        <v>12.21</v>
      </c>
      <c r="AY66" s="163">
        <v>5</v>
      </c>
      <c r="AZ66" s="163">
        <v>175</v>
      </c>
      <c r="BA66" s="163">
        <v>120</v>
      </c>
      <c r="BB66" s="163">
        <v>158</v>
      </c>
      <c r="BC66" s="159">
        <v>97</v>
      </c>
      <c r="BD66" s="228">
        <v>75</v>
      </c>
      <c r="BE66" s="163">
        <v>3491</v>
      </c>
      <c r="BF66" s="163">
        <v>2549</v>
      </c>
      <c r="BG66" s="163">
        <v>3474</v>
      </c>
      <c r="BH66" s="163">
        <v>2550</v>
      </c>
      <c r="BI66" s="163" t="s">
        <v>143</v>
      </c>
      <c r="BJ66" s="163" t="s">
        <v>143</v>
      </c>
      <c r="BK66" s="163" t="s">
        <v>143</v>
      </c>
      <c r="BL66" s="190" t="s">
        <v>143</v>
      </c>
      <c r="BM66" s="190" t="s">
        <v>143</v>
      </c>
      <c r="BN66" s="163" t="s">
        <v>143</v>
      </c>
      <c r="BO66" s="159" t="s">
        <v>143</v>
      </c>
      <c r="BP66" s="186">
        <v>69</v>
      </c>
      <c r="BQ66" s="163">
        <v>2666</v>
      </c>
      <c r="BR66" s="163">
        <v>3198</v>
      </c>
      <c r="BS66" s="163">
        <v>2690</v>
      </c>
      <c r="BT66" s="163">
        <v>2136</v>
      </c>
      <c r="BU66" s="163">
        <v>3262</v>
      </c>
      <c r="BV66" s="159">
        <v>2512</v>
      </c>
      <c r="BW66" s="186">
        <v>11</v>
      </c>
      <c r="BX66" s="163">
        <v>160</v>
      </c>
      <c r="BY66" s="163">
        <v>119</v>
      </c>
      <c r="BZ66" s="163">
        <v>14</v>
      </c>
      <c r="CA66" s="159">
        <v>17</v>
      </c>
      <c r="CB66" s="159">
        <v>35</v>
      </c>
      <c r="CC66" s="228"/>
      <c r="CD66" s="186">
        <v>39</v>
      </c>
      <c r="CE66" s="163">
        <v>1</v>
      </c>
      <c r="CF66" s="469">
        <v>7085</v>
      </c>
      <c r="CG66" s="187">
        <v>42</v>
      </c>
      <c r="CH66" s="442">
        <v>1784.7</v>
      </c>
      <c r="CI66" s="1058">
        <v>389</v>
      </c>
      <c r="CJ66" s="1073">
        <v>228</v>
      </c>
      <c r="CK66" s="186">
        <v>1546</v>
      </c>
      <c r="CL66" s="162">
        <v>387.5</v>
      </c>
      <c r="CM66" s="163">
        <v>331</v>
      </c>
      <c r="CN66" s="164">
        <v>83</v>
      </c>
      <c r="CO66" s="404"/>
      <c r="CP66" s="443">
        <v>385</v>
      </c>
      <c r="CQ66" s="443">
        <v>104</v>
      </c>
      <c r="CR66" s="443">
        <v>18793</v>
      </c>
      <c r="CS66" s="443">
        <v>3676</v>
      </c>
      <c r="CT66" s="443">
        <v>4392</v>
      </c>
    </row>
    <row r="67" spans="1:98" ht="15.75" customHeight="1" x14ac:dyDescent="0.2">
      <c r="A67" s="169" t="s">
        <v>221</v>
      </c>
      <c r="B67" s="183">
        <v>14893</v>
      </c>
      <c r="C67" s="178">
        <v>25.27</v>
      </c>
      <c r="D67" s="197">
        <v>11613</v>
      </c>
      <c r="E67" s="396"/>
      <c r="F67" s="183">
        <v>3</v>
      </c>
      <c r="G67" s="456">
        <v>180</v>
      </c>
      <c r="H67" s="456">
        <v>45</v>
      </c>
      <c r="I67" s="456">
        <v>2611</v>
      </c>
      <c r="J67" s="456">
        <v>7</v>
      </c>
      <c r="K67" s="456">
        <v>156</v>
      </c>
      <c r="L67" s="456">
        <v>1</v>
      </c>
      <c r="M67" s="456">
        <v>38</v>
      </c>
      <c r="N67" s="456">
        <v>196</v>
      </c>
      <c r="O67" s="197">
        <v>3939</v>
      </c>
      <c r="P67" s="183">
        <v>2011</v>
      </c>
      <c r="Q67" s="456">
        <v>15</v>
      </c>
      <c r="R67" s="457">
        <v>508</v>
      </c>
      <c r="S67" s="456">
        <v>7</v>
      </c>
      <c r="T67" s="456">
        <v>20</v>
      </c>
      <c r="U67" s="456">
        <v>1438</v>
      </c>
      <c r="V67" s="456">
        <v>5</v>
      </c>
      <c r="W67" s="456">
        <v>204</v>
      </c>
      <c r="X67" s="456">
        <v>4</v>
      </c>
      <c r="Y67" s="456">
        <v>84</v>
      </c>
      <c r="Z67" s="197">
        <v>1</v>
      </c>
      <c r="AA67" s="402"/>
      <c r="AB67" s="458">
        <v>162869</v>
      </c>
      <c r="AC67" s="456">
        <v>33938</v>
      </c>
      <c r="AD67" s="456">
        <v>47283053615</v>
      </c>
      <c r="AE67" s="178">
        <v>96.2</v>
      </c>
      <c r="AF67" s="197">
        <v>19</v>
      </c>
      <c r="AG67" s="404"/>
      <c r="AH67" s="139">
        <v>118191</v>
      </c>
      <c r="AI67" s="171">
        <v>19.7</v>
      </c>
      <c r="AJ67" s="138">
        <v>77930</v>
      </c>
      <c r="AK67" s="171">
        <v>26.2</v>
      </c>
      <c r="AL67" s="138">
        <v>461923</v>
      </c>
      <c r="AM67" s="171">
        <v>91.4</v>
      </c>
      <c r="AN67" s="171">
        <v>34.6</v>
      </c>
      <c r="AO67" s="459">
        <v>32.9</v>
      </c>
      <c r="AP67" s="406"/>
      <c r="AQ67" s="516">
        <v>5266</v>
      </c>
      <c r="AR67" s="517">
        <v>32.229999999999997</v>
      </c>
      <c r="AS67" s="138">
        <v>8171</v>
      </c>
      <c r="AT67" s="461">
        <v>54.7</v>
      </c>
      <c r="AU67" s="138">
        <v>5728</v>
      </c>
      <c r="AV67" s="461">
        <v>34.99</v>
      </c>
      <c r="AW67" s="138">
        <v>3338</v>
      </c>
      <c r="AX67" s="461">
        <v>20.43</v>
      </c>
      <c r="AY67" s="138">
        <v>11</v>
      </c>
      <c r="AZ67" s="138">
        <v>508</v>
      </c>
      <c r="BA67" s="138">
        <v>382</v>
      </c>
      <c r="BB67" s="138">
        <v>473</v>
      </c>
      <c r="BC67" s="176">
        <v>282</v>
      </c>
      <c r="BD67" s="139">
        <v>116</v>
      </c>
      <c r="BE67" s="138">
        <v>4895</v>
      </c>
      <c r="BF67" s="462">
        <v>4714</v>
      </c>
      <c r="BG67" s="138">
        <v>5703</v>
      </c>
      <c r="BH67" s="138">
        <v>3849</v>
      </c>
      <c r="BI67" s="138" t="s">
        <v>143</v>
      </c>
      <c r="BJ67" s="138" t="s">
        <v>143</v>
      </c>
      <c r="BK67" s="138" t="s">
        <v>143</v>
      </c>
      <c r="BL67" s="174" t="s">
        <v>143</v>
      </c>
      <c r="BM67" s="174" t="s">
        <v>143</v>
      </c>
      <c r="BN67" s="138" t="s">
        <v>143</v>
      </c>
      <c r="BO67" s="176" t="s">
        <v>143</v>
      </c>
      <c r="BP67" s="139">
        <v>54</v>
      </c>
      <c r="BQ67" s="138">
        <v>5607</v>
      </c>
      <c r="BR67" s="138">
        <v>1674</v>
      </c>
      <c r="BS67" s="138">
        <v>1227</v>
      </c>
      <c r="BT67" s="138">
        <v>4633</v>
      </c>
      <c r="BU67" s="138">
        <v>1907</v>
      </c>
      <c r="BV67" s="176">
        <v>1064</v>
      </c>
      <c r="BW67" s="139" t="s">
        <v>143</v>
      </c>
      <c r="BX67" s="462" t="s">
        <v>143</v>
      </c>
      <c r="BY67" s="138" t="s">
        <v>143</v>
      </c>
      <c r="BZ67" s="138">
        <v>216</v>
      </c>
      <c r="CA67" s="185">
        <v>3</v>
      </c>
      <c r="CB67" s="185">
        <v>16</v>
      </c>
      <c r="CC67" s="228"/>
      <c r="CD67" s="139">
        <v>88</v>
      </c>
      <c r="CE67" s="138">
        <v>1</v>
      </c>
      <c r="CF67" s="138">
        <v>14132</v>
      </c>
      <c r="CG67" s="170">
        <v>574</v>
      </c>
      <c r="CH67" s="464">
        <v>2351.8000000000002</v>
      </c>
      <c r="CI67" s="1023">
        <v>544</v>
      </c>
      <c r="CJ67" s="1074">
        <v>376</v>
      </c>
      <c r="CK67" s="139">
        <v>2484</v>
      </c>
      <c r="CL67" s="171">
        <v>413.4</v>
      </c>
      <c r="CM67" s="138">
        <v>706</v>
      </c>
      <c r="CN67" s="180">
        <v>117.5</v>
      </c>
      <c r="CO67" s="404"/>
      <c r="CP67" s="465">
        <v>706</v>
      </c>
      <c r="CQ67" s="465">
        <v>362</v>
      </c>
      <c r="CR67" s="465">
        <v>28954</v>
      </c>
      <c r="CS67" s="465">
        <v>5747</v>
      </c>
      <c r="CT67" s="465">
        <v>6451</v>
      </c>
    </row>
    <row r="68" spans="1:98" ht="15.75" customHeight="1" thickBot="1" x14ac:dyDescent="0.25">
      <c r="A68" s="121" t="s">
        <v>223</v>
      </c>
      <c r="B68" s="228">
        <v>13080</v>
      </c>
      <c r="C68" s="233">
        <v>40.700000000000003</v>
      </c>
      <c r="D68" s="163">
        <v>10213</v>
      </c>
      <c r="E68" s="396"/>
      <c r="F68" s="193">
        <v>1</v>
      </c>
      <c r="G68" s="438">
        <v>70</v>
      </c>
      <c r="H68" s="438">
        <v>7</v>
      </c>
      <c r="I68" s="438">
        <v>620</v>
      </c>
      <c r="J68" s="438">
        <v>5</v>
      </c>
      <c r="K68" s="438">
        <v>145</v>
      </c>
      <c r="L68" s="438">
        <v>1</v>
      </c>
      <c r="M68" s="438">
        <v>50</v>
      </c>
      <c r="N68" s="467">
        <v>7</v>
      </c>
      <c r="O68" s="202">
        <v>308</v>
      </c>
      <c r="P68" s="193">
        <v>622</v>
      </c>
      <c r="Q68" s="438">
        <v>0</v>
      </c>
      <c r="R68" s="467">
        <v>0</v>
      </c>
      <c r="S68" s="438">
        <v>4</v>
      </c>
      <c r="T68" s="438">
        <v>6</v>
      </c>
      <c r="U68" s="467">
        <v>482</v>
      </c>
      <c r="V68" s="438">
        <v>1</v>
      </c>
      <c r="W68" s="467">
        <v>21</v>
      </c>
      <c r="X68" s="438">
        <v>1</v>
      </c>
      <c r="Y68" s="467">
        <v>8</v>
      </c>
      <c r="Z68" s="202">
        <v>2</v>
      </c>
      <c r="AA68" s="402"/>
      <c r="AB68" s="193">
        <v>74603</v>
      </c>
      <c r="AC68" s="438">
        <v>14555</v>
      </c>
      <c r="AD68" s="438">
        <v>22034460799</v>
      </c>
      <c r="AE68" s="161">
        <v>97.55</v>
      </c>
      <c r="AF68" s="202">
        <v>18</v>
      </c>
      <c r="AG68" s="404"/>
      <c r="AH68" s="186">
        <v>78285</v>
      </c>
      <c r="AI68" s="162">
        <v>24.4</v>
      </c>
      <c r="AJ68" s="163">
        <v>49683</v>
      </c>
      <c r="AK68" s="162">
        <v>32.1</v>
      </c>
      <c r="AL68" s="163">
        <v>371832</v>
      </c>
      <c r="AM68" s="200">
        <v>92.2</v>
      </c>
      <c r="AN68" s="162">
        <v>36.4</v>
      </c>
      <c r="AO68" s="468">
        <v>73.400000000000006</v>
      </c>
      <c r="AP68" s="406"/>
      <c r="AQ68" s="228">
        <v>1052</v>
      </c>
      <c r="AR68" s="525">
        <v>11.1819727891156</v>
      </c>
      <c r="AS68" s="190">
        <v>6752</v>
      </c>
      <c r="AT68" s="440">
        <v>71.768707482993193</v>
      </c>
      <c r="AU68" s="163">
        <v>4667</v>
      </c>
      <c r="AV68" s="441">
        <v>54.412964906144303</v>
      </c>
      <c r="AW68" s="190">
        <v>891</v>
      </c>
      <c r="AX68" s="440">
        <v>9.4706632653061202</v>
      </c>
      <c r="AY68" s="163">
        <v>0</v>
      </c>
      <c r="AZ68" s="190">
        <v>0</v>
      </c>
      <c r="BA68" s="190">
        <v>0</v>
      </c>
      <c r="BB68" s="190">
        <v>0</v>
      </c>
      <c r="BC68" s="159">
        <v>0</v>
      </c>
      <c r="BD68" s="186">
        <v>80</v>
      </c>
      <c r="BE68" s="190">
        <v>3548</v>
      </c>
      <c r="BF68" s="190">
        <v>3506</v>
      </c>
      <c r="BG68" s="190">
        <v>3335</v>
      </c>
      <c r="BH68" s="190">
        <v>3121</v>
      </c>
      <c r="BI68" s="163">
        <v>20</v>
      </c>
      <c r="BJ68" s="190">
        <v>361</v>
      </c>
      <c r="BK68" s="190">
        <v>1343</v>
      </c>
      <c r="BL68" s="190">
        <v>167</v>
      </c>
      <c r="BM68" s="190">
        <v>242</v>
      </c>
      <c r="BN68" s="190">
        <v>1081</v>
      </c>
      <c r="BO68" s="159">
        <v>166</v>
      </c>
      <c r="BP68" s="186">
        <v>35</v>
      </c>
      <c r="BQ68" s="190">
        <v>628</v>
      </c>
      <c r="BR68" s="190">
        <v>2398</v>
      </c>
      <c r="BS68" s="190">
        <v>949</v>
      </c>
      <c r="BT68" s="190">
        <v>505</v>
      </c>
      <c r="BU68" s="190">
        <v>2266</v>
      </c>
      <c r="BV68" s="159">
        <v>918</v>
      </c>
      <c r="BW68" s="186">
        <v>20</v>
      </c>
      <c r="BX68" s="415">
        <v>358</v>
      </c>
      <c r="BY68" s="190">
        <v>341</v>
      </c>
      <c r="BZ68" s="190">
        <v>153</v>
      </c>
      <c r="CA68" s="190">
        <v>11</v>
      </c>
      <c r="CB68" s="443">
        <v>19</v>
      </c>
      <c r="CC68" s="228"/>
      <c r="CD68" s="526">
        <v>18</v>
      </c>
      <c r="CE68" s="163">
        <v>0</v>
      </c>
      <c r="CF68" s="469">
        <v>3588</v>
      </c>
      <c r="CG68" s="163">
        <v>0</v>
      </c>
      <c r="CH68" s="442">
        <v>1117.0999999999999</v>
      </c>
      <c r="CI68" s="1058">
        <v>282</v>
      </c>
      <c r="CJ68" s="1073">
        <v>184</v>
      </c>
      <c r="CK68" s="186">
        <v>938</v>
      </c>
      <c r="CL68" s="162">
        <v>293.10000000000002</v>
      </c>
      <c r="CM68" s="163">
        <v>238</v>
      </c>
      <c r="CN68" s="164">
        <v>74.400000000000006</v>
      </c>
      <c r="CO68" s="404"/>
      <c r="CP68" s="443">
        <v>290</v>
      </c>
      <c r="CQ68" s="443">
        <v>55</v>
      </c>
      <c r="CR68" s="443">
        <v>13983</v>
      </c>
      <c r="CS68" s="443">
        <v>3207</v>
      </c>
      <c r="CT68" s="443">
        <v>5943</v>
      </c>
    </row>
    <row r="69" spans="1:98" s="38" customFormat="1" ht="18" customHeight="1" thickTop="1" x14ac:dyDescent="0.2">
      <c r="A69" s="239" t="s">
        <v>224</v>
      </c>
      <c r="B69" s="527">
        <f>SUM(B7:B68)</f>
        <v>407390</v>
      </c>
      <c r="C69" s="314" t="s">
        <v>143</v>
      </c>
      <c r="D69" s="528">
        <f>SUM(D7:D68)</f>
        <v>321306</v>
      </c>
      <c r="E69" s="396"/>
      <c r="F69" s="527">
        <f t="shared" ref="F69:Z69" si="0">SUM(F7:F68)</f>
        <v>120</v>
      </c>
      <c r="G69" s="314">
        <f t="shared" si="0"/>
        <v>9484</v>
      </c>
      <c r="H69" s="314">
        <f t="shared" si="0"/>
        <v>1207</v>
      </c>
      <c r="I69" s="314">
        <f t="shared" si="0"/>
        <v>87207</v>
      </c>
      <c r="J69" s="314">
        <f t="shared" si="0"/>
        <v>523</v>
      </c>
      <c r="K69" s="314">
        <f t="shared" si="0"/>
        <v>14072</v>
      </c>
      <c r="L69" s="314">
        <f t="shared" si="0"/>
        <v>40</v>
      </c>
      <c r="M69" s="314">
        <f t="shared" si="0"/>
        <v>2308</v>
      </c>
      <c r="N69" s="314">
        <f t="shared" si="0"/>
        <v>3748</v>
      </c>
      <c r="O69" s="529">
        <f t="shared" si="0"/>
        <v>130330</v>
      </c>
      <c r="P69" s="530">
        <f t="shared" si="0"/>
        <v>70927</v>
      </c>
      <c r="Q69" s="314">
        <f t="shared" si="0"/>
        <v>402.26400000000001</v>
      </c>
      <c r="R69" s="314">
        <f t="shared" si="0"/>
        <v>17389</v>
      </c>
      <c r="S69" s="314">
        <f t="shared" si="0"/>
        <v>269</v>
      </c>
      <c r="T69" s="314">
        <f t="shared" si="0"/>
        <v>664</v>
      </c>
      <c r="U69" s="314">
        <f t="shared" si="0"/>
        <v>58870</v>
      </c>
      <c r="V69" s="314">
        <f t="shared" si="0"/>
        <v>102</v>
      </c>
      <c r="W69" s="314">
        <f t="shared" si="0"/>
        <v>6257</v>
      </c>
      <c r="X69" s="314">
        <f t="shared" si="0"/>
        <v>118</v>
      </c>
      <c r="Y69" s="314">
        <f t="shared" si="0"/>
        <v>3787</v>
      </c>
      <c r="Z69" s="529">
        <f t="shared" si="0"/>
        <v>327</v>
      </c>
      <c r="AA69" s="402"/>
      <c r="AB69" s="527">
        <f>SUM(AB7:AB68)</f>
        <v>6329595</v>
      </c>
      <c r="AC69" s="314">
        <f>SUM(AC7:AC68)</f>
        <v>1225923</v>
      </c>
      <c r="AD69" s="314">
        <f>SUM(AD7:AD68)</f>
        <v>1755359244613</v>
      </c>
      <c r="AE69" s="314" t="s">
        <v>143</v>
      </c>
      <c r="AF69" s="529">
        <f>SUM(AF7:AF68)</f>
        <v>888</v>
      </c>
      <c r="AG69" s="404"/>
      <c r="AH69" s="530">
        <f>SUM(AH7:AH68)</f>
        <v>4593149</v>
      </c>
      <c r="AI69" s="314" t="s">
        <v>143</v>
      </c>
      <c r="AJ69" s="314">
        <f>SUM(AJ7:AJ68)</f>
        <v>3002303</v>
      </c>
      <c r="AK69" s="314" t="s">
        <v>143</v>
      </c>
      <c r="AL69" s="314">
        <f>SUM(AL7:AL68)</f>
        <v>24499316.338646118</v>
      </c>
      <c r="AM69" s="314" t="s">
        <v>143</v>
      </c>
      <c r="AN69" s="314" t="s">
        <v>852</v>
      </c>
      <c r="AO69" s="529" t="s">
        <v>143</v>
      </c>
      <c r="AP69" s="404"/>
      <c r="AQ69" s="531">
        <f t="shared" ref="AQ69:CB69" si="1">SUM(AQ7:AQ68)</f>
        <v>109016</v>
      </c>
      <c r="AR69" s="532" t="s">
        <v>852</v>
      </c>
      <c r="AS69" s="533">
        <f t="shared" si="1"/>
        <v>301232</v>
      </c>
      <c r="AT69" s="533" t="s">
        <v>852</v>
      </c>
      <c r="AU69" s="533">
        <f t="shared" si="1"/>
        <v>206369</v>
      </c>
      <c r="AV69" s="533" t="s">
        <v>852</v>
      </c>
      <c r="AW69" s="533">
        <f>SUM(AW7:AW68)</f>
        <v>66053</v>
      </c>
      <c r="AX69" s="533" t="s">
        <v>852</v>
      </c>
      <c r="AY69" s="533">
        <f t="shared" si="1"/>
        <v>1019</v>
      </c>
      <c r="AZ69" s="533">
        <f t="shared" si="1"/>
        <v>73111</v>
      </c>
      <c r="BA69" s="533">
        <f t="shared" si="1"/>
        <v>36099</v>
      </c>
      <c r="BB69" s="533">
        <f t="shared" si="1"/>
        <v>61619</v>
      </c>
      <c r="BC69" s="534">
        <f t="shared" si="1"/>
        <v>32280</v>
      </c>
      <c r="BD69" s="535">
        <f t="shared" si="1"/>
        <v>2382</v>
      </c>
      <c r="BE69" s="533">
        <f t="shared" si="1"/>
        <v>126689</v>
      </c>
      <c r="BF69" s="533">
        <f t="shared" si="1"/>
        <v>97745</v>
      </c>
      <c r="BG69" s="533">
        <f t="shared" si="1"/>
        <v>127134</v>
      </c>
      <c r="BH69" s="533">
        <f t="shared" si="1"/>
        <v>90714</v>
      </c>
      <c r="BI69" s="533">
        <f t="shared" si="1"/>
        <v>150</v>
      </c>
      <c r="BJ69" s="533">
        <f t="shared" si="1"/>
        <v>6331</v>
      </c>
      <c r="BK69" s="533">
        <f t="shared" si="1"/>
        <v>9737</v>
      </c>
      <c r="BL69" s="536">
        <f t="shared" si="1"/>
        <v>4125</v>
      </c>
      <c r="BM69" s="536">
        <f t="shared" si="1"/>
        <v>4398</v>
      </c>
      <c r="BN69" s="533">
        <f t="shared" si="1"/>
        <v>8728</v>
      </c>
      <c r="BO69" s="534">
        <f t="shared" si="1"/>
        <v>3296</v>
      </c>
      <c r="BP69" s="535">
        <f t="shared" si="1"/>
        <v>1658</v>
      </c>
      <c r="BQ69" s="533">
        <f t="shared" si="1"/>
        <v>91278</v>
      </c>
      <c r="BR69" s="533">
        <f t="shared" si="1"/>
        <v>96071</v>
      </c>
      <c r="BS69" s="533">
        <f t="shared" si="1"/>
        <v>64349</v>
      </c>
      <c r="BT69" s="533">
        <f t="shared" si="1"/>
        <v>72816</v>
      </c>
      <c r="BU69" s="533">
        <f t="shared" si="1"/>
        <v>96475</v>
      </c>
      <c r="BV69" s="534">
        <f t="shared" si="1"/>
        <v>57601</v>
      </c>
      <c r="BW69" s="535">
        <f t="shared" si="1"/>
        <v>1042</v>
      </c>
      <c r="BX69" s="533">
        <f t="shared" si="1"/>
        <v>16657</v>
      </c>
      <c r="BY69" s="533">
        <f t="shared" si="1"/>
        <v>13902</v>
      </c>
      <c r="BZ69" s="533">
        <f t="shared" si="1"/>
        <v>2273</v>
      </c>
      <c r="CA69" s="532">
        <f>SUM(CA7:CA68)</f>
        <v>486</v>
      </c>
      <c r="CB69" s="537">
        <f t="shared" si="1"/>
        <v>1014</v>
      </c>
      <c r="CC69" s="228"/>
      <c r="CD69" s="535">
        <f t="shared" ref="CD69:CM69" si="2">SUM(CD7:CD68)</f>
        <v>1664</v>
      </c>
      <c r="CE69" s="533">
        <f t="shared" si="2"/>
        <v>46</v>
      </c>
      <c r="CF69" s="533">
        <f t="shared" si="2"/>
        <v>334747</v>
      </c>
      <c r="CG69" s="538">
        <f t="shared" si="2"/>
        <v>16463</v>
      </c>
      <c r="CH69" s="539">
        <f t="shared" si="2"/>
        <v>92669.53996703343</v>
      </c>
      <c r="CI69" s="533">
        <f t="shared" si="2"/>
        <v>19409</v>
      </c>
      <c r="CJ69" s="534">
        <f t="shared" si="2"/>
        <v>12226</v>
      </c>
      <c r="CK69" s="535">
        <f t="shared" si="2"/>
        <v>68888</v>
      </c>
      <c r="CL69" s="540">
        <f t="shared" si="2"/>
        <v>19137.043554996173</v>
      </c>
      <c r="CM69" s="533">
        <f t="shared" si="2"/>
        <v>19181</v>
      </c>
      <c r="CN69" s="540">
        <f>SUM(CN7:CN68)</f>
        <v>5238.6629060491887</v>
      </c>
      <c r="CO69" s="404"/>
      <c r="CP69" s="537">
        <f>SUM(CP7:CP68)</f>
        <v>21869</v>
      </c>
      <c r="CQ69" s="537">
        <f t="shared" ref="CQ69:CT69" si="3">SUM(CQ7:CQ68)</f>
        <v>5618</v>
      </c>
      <c r="CR69" s="537">
        <f t="shared" si="3"/>
        <v>873390</v>
      </c>
      <c r="CS69" s="537">
        <f t="shared" si="3"/>
        <v>198683</v>
      </c>
      <c r="CT69" s="537">
        <f t="shared" si="3"/>
        <v>220669</v>
      </c>
    </row>
    <row r="70" spans="1:98" ht="18" customHeight="1" thickBot="1" x14ac:dyDescent="0.25">
      <c r="A70" s="261" t="s">
        <v>225</v>
      </c>
      <c r="B70" s="541">
        <f>AVERAGE(B7:B68)</f>
        <v>6570.8064516129034</v>
      </c>
      <c r="C70" s="542">
        <f>AVERAGE(C7:C68)</f>
        <v>17.961639344262291</v>
      </c>
      <c r="D70" s="543">
        <f>AVERAGE(D7:D68)</f>
        <v>5182.3548387096771</v>
      </c>
      <c r="E70" s="544"/>
      <c r="F70" s="545">
        <f t="shared" ref="F70:Z70" si="4">AVERAGE(F7:F68)</f>
        <v>2</v>
      </c>
      <c r="G70" s="545">
        <f t="shared" si="4"/>
        <v>158.06666666666666</v>
      </c>
      <c r="H70" s="545">
        <f t="shared" si="4"/>
        <v>19.467741935483872</v>
      </c>
      <c r="I70" s="545">
        <f t="shared" si="4"/>
        <v>1406.5645161290322</v>
      </c>
      <c r="J70" s="545">
        <f t="shared" si="4"/>
        <v>8.7166666666666668</v>
      </c>
      <c r="K70" s="545">
        <f t="shared" si="4"/>
        <v>234.53333333333333</v>
      </c>
      <c r="L70" s="545">
        <f t="shared" si="4"/>
        <v>0.97560975609756095</v>
      </c>
      <c r="M70" s="545">
        <f t="shared" si="4"/>
        <v>56.292682926829265</v>
      </c>
      <c r="N70" s="545">
        <f t="shared" si="4"/>
        <v>60.451612903225808</v>
      </c>
      <c r="O70" s="546">
        <f t="shared" si="4"/>
        <v>2102.0967741935483</v>
      </c>
      <c r="P70" s="547">
        <f t="shared" si="4"/>
        <v>1143.983870967742</v>
      </c>
      <c r="Q70" s="545">
        <f t="shared" si="4"/>
        <v>6.5944918032786886</v>
      </c>
      <c r="R70" s="545">
        <f t="shared" si="4"/>
        <v>285.06557377049182</v>
      </c>
      <c r="S70" s="545">
        <f t="shared" si="4"/>
        <v>4.4833333333333334</v>
      </c>
      <c r="T70" s="545">
        <f t="shared" si="4"/>
        <v>10.709677419354838</v>
      </c>
      <c r="U70" s="545">
        <f t="shared" si="4"/>
        <v>949.51612903225805</v>
      </c>
      <c r="V70" s="545">
        <f t="shared" si="4"/>
        <v>2.0816326530612246</v>
      </c>
      <c r="W70" s="545">
        <f t="shared" si="4"/>
        <v>127.69387755102041</v>
      </c>
      <c r="X70" s="545">
        <f t="shared" si="4"/>
        <v>2.4583333333333335</v>
      </c>
      <c r="Y70" s="545">
        <f t="shared" si="4"/>
        <v>78.895833333333329</v>
      </c>
      <c r="Z70" s="546">
        <f t="shared" si="4"/>
        <v>7.2666666666666666</v>
      </c>
      <c r="AA70" s="402"/>
      <c r="AB70" s="548">
        <f>AVERAGE(AB7:AB68)</f>
        <v>102090.24193548386</v>
      </c>
      <c r="AC70" s="545">
        <f>AVERAGE(AC7:AC68)</f>
        <v>19772.951612903227</v>
      </c>
      <c r="AD70" s="545">
        <f>AVERAGE(AD7:AD68)</f>
        <v>28312245880.854839</v>
      </c>
      <c r="AE70" s="549">
        <f>AVERAGE(AE7:AE68)</f>
        <v>97.83685318286804</v>
      </c>
      <c r="AF70" s="546">
        <f>AVERAGE(AF7:AF68)</f>
        <v>14.557377049180328</v>
      </c>
      <c r="AG70" s="404"/>
      <c r="AH70" s="547">
        <f t="shared" ref="AH70:AO70" si="5">AVERAGE(AH7:AH68)</f>
        <v>74083.048387096773</v>
      </c>
      <c r="AI70" s="549">
        <f t="shared" si="5"/>
        <v>20.15375276247692</v>
      </c>
      <c r="AJ70" s="545">
        <f t="shared" si="5"/>
        <v>48424.241935483871</v>
      </c>
      <c r="AK70" s="549">
        <f t="shared" si="5"/>
        <v>28.387415502786471</v>
      </c>
      <c r="AL70" s="545">
        <f t="shared" si="5"/>
        <v>395150.26352655026</v>
      </c>
      <c r="AM70" s="549">
        <f t="shared" si="5"/>
        <v>92.41112757098594</v>
      </c>
      <c r="AN70" s="549">
        <f t="shared" si="5"/>
        <v>36.288709677419362</v>
      </c>
      <c r="AO70" s="550">
        <f t="shared" si="5"/>
        <v>25.029032258064522</v>
      </c>
      <c r="AP70" s="551"/>
      <c r="AQ70" s="552">
        <f t="shared" ref="AQ70:CB70" si="6">AVERAGE(AQ7:AQ68)</f>
        <v>1758.3225806451612</v>
      </c>
      <c r="AR70" s="1335">
        <f>AVERAGE(AR7:AR68)</f>
        <v>19.846477567183996</v>
      </c>
      <c r="AS70" s="230">
        <f t="shared" si="6"/>
        <v>4858.5806451612907</v>
      </c>
      <c r="AT70" s="1335">
        <f>AVERAGE(AT7:AT68)</f>
        <v>54.052566589159433</v>
      </c>
      <c r="AU70" s="230">
        <f t="shared" si="6"/>
        <v>3328.5322580645161</v>
      </c>
      <c r="AV70" s="1335">
        <f>AVERAGE(AV7:AV68)</f>
        <v>40.772679712184853</v>
      </c>
      <c r="AW70" s="230">
        <f>AVERAGE(AW7:AW68)</f>
        <v>1065.3709677419354</v>
      </c>
      <c r="AX70" s="1335">
        <f>AVERAGE(AX7:AX68)</f>
        <v>11.551656689647912</v>
      </c>
      <c r="AY70" s="230">
        <f t="shared" si="6"/>
        <v>17.271186440677965</v>
      </c>
      <c r="AZ70" s="230">
        <f t="shared" si="6"/>
        <v>1239.1694915254238</v>
      </c>
      <c r="BA70" s="230">
        <f t="shared" si="6"/>
        <v>622.39655172413791</v>
      </c>
      <c r="BB70" s="230">
        <f t="shared" si="6"/>
        <v>1044.3898305084747</v>
      </c>
      <c r="BC70" s="232">
        <f t="shared" si="6"/>
        <v>547.11864406779659</v>
      </c>
      <c r="BD70" s="526">
        <f t="shared" si="6"/>
        <v>38.41935483870968</v>
      </c>
      <c r="BE70" s="230">
        <f t="shared" si="6"/>
        <v>2043.3709677419354</v>
      </c>
      <c r="BF70" s="230">
        <f t="shared" si="6"/>
        <v>1576.5322580645161</v>
      </c>
      <c r="BG70" s="230">
        <f t="shared" si="6"/>
        <v>2050.5483870967741</v>
      </c>
      <c r="BH70" s="230">
        <f t="shared" si="6"/>
        <v>1463.1290322580646</v>
      </c>
      <c r="BI70" s="230">
        <f t="shared" si="6"/>
        <v>4.5454545454545459</v>
      </c>
      <c r="BJ70" s="230">
        <f t="shared" si="6"/>
        <v>191.84848484848484</v>
      </c>
      <c r="BK70" s="230">
        <f t="shared" si="6"/>
        <v>295.06060606060606</v>
      </c>
      <c r="BL70" s="554">
        <f t="shared" si="6"/>
        <v>125</v>
      </c>
      <c r="BM70" s="554">
        <f t="shared" si="6"/>
        <v>125.65714285714286</v>
      </c>
      <c r="BN70" s="554">
        <f t="shared" si="6"/>
        <v>249.37142857142857</v>
      </c>
      <c r="BO70" s="232">
        <f t="shared" si="6"/>
        <v>94.171428571428578</v>
      </c>
      <c r="BP70" s="552">
        <f t="shared" si="6"/>
        <v>27.180327868852459</v>
      </c>
      <c r="BQ70" s="554">
        <f t="shared" si="6"/>
        <v>1496.360655737705</v>
      </c>
      <c r="BR70" s="554">
        <f t="shared" si="6"/>
        <v>1574.9344262295083</v>
      </c>
      <c r="BS70" s="554">
        <f t="shared" si="6"/>
        <v>1054.9016393442623</v>
      </c>
      <c r="BT70" s="554">
        <f t="shared" si="6"/>
        <v>1193.704918032787</v>
      </c>
      <c r="BU70" s="554">
        <f t="shared" si="6"/>
        <v>1581.5573770491803</v>
      </c>
      <c r="BV70" s="232">
        <f t="shared" si="6"/>
        <v>944.27868852459017</v>
      </c>
      <c r="BW70" s="526">
        <f t="shared" si="6"/>
        <v>19.660377358490567</v>
      </c>
      <c r="BX70" s="230">
        <f t="shared" si="6"/>
        <v>320.32692307692309</v>
      </c>
      <c r="BY70" s="230">
        <f t="shared" si="6"/>
        <v>257.44444444444446</v>
      </c>
      <c r="BZ70" s="230">
        <f t="shared" si="6"/>
        <v>41.327272727272728</v>
      </c>
      <c r="CA70" s="553">
        <f>AVERAGE(CA7:CA68)</f>
        <v>8.836363636363636</v>
      </c>
      <c r="CB70" s="555">
        <f t="shared" si="6"/>
        <v>16.35483870967742</v>
      </c>
      <c r="CC70" s="228"/>
      <c r="CD70" s="526">
        <f>AVERAGE(CD7:CD68)</f>
        <v>26.838709677419356</v>
      </c>
      <c r="CE70" s="230">
        <f t="shared" ref="CE70:CL70" si="7">AVERAGE(CE7:CE68)</f>
        <v>1.0222222222222221</v>
      </c>
      <c r="CF70" s="230">
        <f t="shared" si="7"/>
        <v>5399.1451612903229</v>
      </c>
      <c r="CG70" s="556">
        <f t="shared" si="7"/>
        <v>365.84444444444443</v>
      </c>
      <c r="CH70" s="269">
        <f t="shared" si="7"/>
        <v>1494.669999468281</v>
      </c>
      <c r="CI70" s="230">
        <f t="shared" si="7"/>
        <v>313.04838709677421</v>
      </c>
      <c r="CJ70" s="232">
        <f t="shared" si="7"/>
        <v>197.19354838709677</v>
      </c>
      <c r="CK70" s="526">
        <f t="shared" si="7"/>
        <v>1111.0967741935483</v>
      </c>
      <c r="CL70" s="233">
        <f t="shared" si="7"/>
        <v>308.66199282251893</v>
      </c>
      <c r="CM70" s="230">
        <f>AVERAGE(CM7:CM68)</f>
        <v>309.37096774193549</v>
      </c>
      <c r="CN70" s="233">
        <f>AVERAGE(CN7:CN68)</f>
        <v>84.494563000793363</v>
      </c>
      <c r="CO70" s="404"/>
      <c r="CP70" s="555">
        <f>AVERAGE(CP7:CP68)</f>
        <v>352.72580645161293</v>
      </c>
      <c r="CQ70" s="555">
        <f>AVERAGE(CQ7:CQ68)</f>
        <v>90.612903225806448</v>
      </c>
      <c r="CR70" s="555">
        <f>AVERAGE(CR7:CR68)</f>
        <v>14086.935483870968</v>
      </c>
      <c r="CS70" s="555">
        <f>AVERAGE(CS7:CS68)</f>
        <v>3204.5645161290322</v>
      </c>
      <c r="CT70" s="555">
        <f>AVERAGE(CT7:CT68)</f>
        <v>3559.1774193548385</v>
      </c>
    </row>
    <row r="71" spans="1:98" s="327" customFormat="1" ht="13.2" customHeight="1" thickTop="1" x14ac:dyDescent="0.2">
      <c r="A71" s="327" t="s">
        <v>255</v>
      </c>
      <c r="B71" s="1555"/>
      <c r="C71" s="1555"/>
      <c r="D71" s="1555"/>
      <c r="E71" s="557"/>
      <c r="F71" s="284" t="s">
        <v>342</v>
      </c>
      <c r="G71" s="283"/>
      <c r="H71" s="283"/>
      <c r="I71" s="283"/>
      <c r="J71" s="283"/>
      <c r="K71" s="283"/>
      <c r="L71" s="283"/>
      <c r="M71" s="283"/>
      <c r="N71" s="557"/>
      <c r="O71" s="558"/>
      <c r="P71" s="558"/>
      <c r="Q71" s="559"/>
      <c r="R71" s="560"/>
      <c r="S71" s="560"/>
      <c r="T71" s="560"/>
      <c r="U71" s="560"/>
      <c r="V71" s="560"/>
      <c r="W71" s="560"/>
      <c r="X71" s="560"/>
      <c r="Y71" s="560"/>
      <c r="Z71" s="560"/>
      <c r="AA71" s="560"/>
      <c r="AB71" s="1555" t="s">
        <v>343</v>
      </c>
      <c r="AC71" s="1556"/>
      <c r="AD71" s="1556"/>
      <c r="AE71" s="1556"/>
      <c r="AF71" s="1556"/>
      <c r="AG71" s="328"/>
      <c r="AH71" s="284" t="s">
        <v>344</v>
      </c>
      <c r="AI71" s="283"/>
      <c r="AJ71" s="283"/>
      <c r="AK71" s="283"/>
      <c r="AL71" s="283"/>
      <c r="AM71" s="283"/>
      <c r="AN71" s="284"/>
      <c r="AQ71" s="1463" t="s">
        <v>345</v>
      </c>
      <c r="AR71" s="1463"/>
      <c r="AS71" s="1557"/>
      <c r="AT71" s="1557"/>
      <c r="AU71" s="1558"/>
      <c r="AV71" s="328"/>
      <c r="AW71" s="284" t="s">
        <v>346</v>
      </c>
      <c r="AX71" s="328"/>
      <c r="AY71" s="284"/>
      <c r="AZ71" s="328"/>
      <c r="BA71" s="328"/>
      <c r="BB71" s="328"/>
      <c r="BC71" s="328"/>
      <c r="BD71" s="1463"/>
      <c r="BE71" s="1557"/>
      <c r="BF71" s="1557"/>
      <c r="BG71" s="1557"/>
      <c r="BH71" s="1558"/>
      <c r="BI71" s="283"/>
      <c r="BJ71" s="328"/>
      <c r="BK71" s="328"/>
      <c r="BL71" s="328"/>
      <c r="BM71" s="328"/>
      <c r="BN71" s="328"/>
      <c r="BO71" s="328"/>
      <c r="BP71" s="1463"/>
      <c r="BQ71" s="1557"/>
      <c r="BR71" s="1557"/>
      <c r="BS71" s="1557"/>
      <c r="BT71" s="1557"/>
      <c r="BU71" s="1557"/>
      <c r="BV71" s="1558"/>
      <c r="BW71" s="284" t="s">
        <v>347</v>
      </c>
      <c r="BX71" s="284"/>
      <c r="BY71" s="328"/>
      <c r="BZ71" s="561"/>
      <c r="CA71" s="561"/>
      <c r="CB71" s="561"/>
      <c r="CC71" s="561"/>
      <c r="CD71" s="284" t="s">
        <v>342</v>
      </c>
      <c r="CE71" s="562"/>
      <c r="CF71" s="562"/>
      <c r="CH71" s="284"/>
      <c r="CI71" s="288"/>
      <c r="CJ71" s="288"/>
      <c r="CK71" s="284"/>
      <c r="CL71" s="563"/>
      <c r="CM71" s="561"/>
      <c r="CN71" s="563"/>
      <c r="CO71" s="560"/>
      <c r="CP71" s="284" t="s">
        <v>348</v>
      </c>
      <c r="CQ71" s="284"/>
      <c r="CR71" s="284" t="s">
        <v>349</v>
      </c>
      <c r="CS71" s="284"/>
      <c r="CT71" s="284"/>
    </row>
    <row r="72" spans="1:98" s="327" customFormat="1" ht="13.2" customHeight="1" x14ac:dyDescent="0.2">
      <c r="B72" s="1556"/>
      <c r="C72" s="1556"/>
      <c r="D72" s="1556"/>
      <c r="F72" s="557" t="s">
        <v>350</v>
      </c>
      <c r="N72" s="557"/>
      <c r="O72" s="558"/>
      <c r="P72" s="558"/>
      <c r="Q72" s="284"/>
      <c r="R72" s="288"/>
      <c r="AB72" s="1556"/>
      <c r="AC72" s="1556"/>
      <c r="AD72" s="1556"/>
      <c r="AE72" s="1556"/>
      <c r="AF72" s="1556"/>
      <c r="AG72" s="328"/>
      <c r="AH72" s="284" t="s">
        <v>351</v>
      </c>
      <c r="AI72" s="283"/>
      <c r="AJ72" s="283"/>
      <c r="AK72" s="283"/>
      <c r="AL72" s="283"/>
      <c r="AM72" s="283"/>
      <c r="AQ72" s="284" t="s">
        <v>352</v>
      </c>
      <c r="AR72" s="278"/>
      <c r="AS72" s="278"/>
      <c r="AT72" s="278"/>
      <c r="AU72" s="278"/>
      <c r="AV72" s="278"/>
      <c r="AW72" s="278"/>
      <c r="AX72" s="278"/>
      <c r="AY72" s="278"/>
      <c r="AZ72" s="278"/>
      <c r="BA72" s="278"/>
      <c r="BB72" s="278"/>
      <c r="BC72" s="278"/>
      <c r="BD72" s="278"/>
      <c r="BE72" s="278"/>
      <c r="BF72" s="278"/>
      <c r="BG72" s="278"/>
      <c r="BH72" s="278"/>
      <c r="BI72" s="278"/>
      <c r="BJ72" s="278"/>
      <c r="BK72" s="278"/>
      <c r="BL72" s="278"/>
      <c r="BM72" s="278"/>
      <c r="BN72" s="278"/>
      <c r="BO72" s="278"/>
      <c r="BP72" s="278"/>
      <c r="BQ72" s="278"/>
      <c r="BR72" s="278"/>
      <c r="BS72" s="278"/>
      <c r="BT72" s="278"/>
      <c r="BU72" s="278"/>
      <c r="BV72" s="278"/>
      <c r="BW72" s="278" t="s">
        <v>353</v>
      </c>
      <c r="BX72" s="278"/>
      <c r="BY72" s="278"/>
      <c r="BZ72" s="564"/>
      <c r="CA72" s="564"/>
      <c r="CB72" s="564"/>
      <c r="CC72" s="564"/>
      <c r="CD72" s="284" t="s">
        <v>354</v>
      </c>
      <c r="CE72" s="565"/>
      <c r="CF72" s="565"/>
      <c r="CG72" s="566"/>
      <c r="CH72" s="284"/>
      <c r="CI72" s="564"/>
      <c r="CK72" s="284"/>
      <c r="CL72" s="284"/>
      <c r="CP72" s="284" t="s">
        <v>355</v>
      </c>
      <c r="CQ72" s="284"/>
      <c r="CR72" s="284"/>
      <c r="CS72" s="284"/>
      <c r="CT72" s="284"/>
    </row>
    <row r="73" spans="1:98" s="327" customFormat="1" ht="13.95" customHeight="1" x14ac:dyDescent="0.2">
      <c r="B73" s="567"/>
      <c r="F73" s="557" t="s">
        <v>356</v>
      </c>
      <c r="L73" s="288"/>
      <c r="M73" s="288"/>
      <c r="N73" s="557"/>
      <c r="O73" s="558"/>
      <c r="P73" s="558"/>
      <c r="R73" s="288"/>
      <c r="AB73" s="1556"/>
      <c r="AC73" s="1556"/>
      <c r="AD73" s="1556"/>
      <c r="AE73" s="1556"/>
      <c r="AF73" s="1556"/>
      <c r="AG73" s="328"/>
      <c r="AH73" s="284" t="s">
        <v>357</v>
      </c>
      <c r="AI73" s="283"/>
      <c r="AJ73" s="283"/>
      <c r="AK73" s="283"/>
      <c r="AL73" s="283"/>
      <c r="AM73" s="283"/>
      <c r="AQ73" s="278" t="s">
        <v>358</v>
      </c>
      <c r="AR73" s="278"/>
      <c r="AS73" s="278"/>
      <c r="AT73" s="278"/>
      <c r="AU73" s="278"/>
      <c r="AV73" s="278"/>
      <c r="AW73" s="278"/>
      <c r="AX73" s="278"/>
      <c r="AY73" s="278"/>
      <c r="AZ73" s="278"/>
      <c r="BA73" s="278"/>
      <c r="BB73" s="278"/>
      <c r="BC73" s="278"/>
      <c r="BD73" s="278"/>
      <c r="BE73" s="278"/>
      <c r="BF73" s="278"/>
      <c r="BG73" s="278"/>
      <c r="BH73" s="278"/>
      <c r="BI73" s="278"/>
      <c r="BJ73" s="278"/>
      <c r="BK73" s="278"/>
      <c r="BL73" s="278"/>
      <c r="BM73" s="278"/>
      <c r="BN73" s="278"/>
      <c r="BO73" s="278"/>
      <c r="BP73" s="278"/>
      <c r="BQ73" s="278"/>
      <c r="BR73" s="278"/>
      <c r="BS73" s="278"/>
      <c r="BT73" s="278"/>
      <c r="BU73" s="278"/>
      <c r="BV73" s="278"/>
      <c r="BW73" s="284" t="s">
        <v>359</v>
      </c>
      <c r="BX73" s="278"/>
      <c r="BY73" s="278"/>
      <c r="BZ73" s="564"/>
      <c r="CA73" s="564"/>
      <c r="CB73" s="564"/>
      <c r="CC73" s="564"/>
      <c r="CD73" s="284" t="s">
        <v>360</v>
      </c>
      <c r="CF73" s="568"/>
      <c r="CH73" s="283"/>
      <c r="CJ73" s="569"/>
      <c r="CL73" s="569"/>
      <c r="CM73" s="569"/>
      <c r="CN73" s="569"/>
      <c r="CP73" s="284" t="s">
        <v>361</v>
      </c>
      <c r="CQ73" s="284"/>
      <c r="CR73" s="284"/>
      <c r="CS73" s="284"/>
      <c r="CT73" s="284"/>
    </row>
    <row r="74" spans="1:98" s="327" customFormat="1" ht="13.2" customHeight="1" x14ac:dyDescent="0.2">
      <c r="B74" s="284"/>
      <c r="F74" s="557" t="s">
        <v>362</v>
      </c>
      <c r="L74" s="288"/>
      <c r="M74" s="288"/>
      <c r="N74" s="557"/>
      <c r="O74" s="558"/>
      <c r="P74" s="558"/>
      <c r="Q74" s="288"/>
      <c r="R74" s="288"/>
      <c r="AB74" s="1556"/>
      <c r="AC74" s="1556"/>
      <c r="AD74" s="1556"/>
      <c r="AE74" s="1556"/>
      <c r="AF74" s="1556"/>
      <c r="AG74" s="328"/>
      <c r="AH74" s="276"/>
      <c r="AI74" s="276"/>
      <c r="AJ74" s="276"/>
      <c r="AK74" s="276"/>
      <c r="AL74" s="276"/>
      <c r="AM74" s="276"/>
      <c r="AQ74" s="278" t="s">
        <v>363</v>
      </c>
      <c r="AR74" s="278"/>
      <c r="AS74" s="278"/>
      <c r="AT74" s="278"/>
      <c r="AU74" s="287"/>
      <c r="AV74" s="278"/>
      <c r="AW74" s="278"/>
      <c r="AX74" s="278"/>
      <c r="AY74" s="278"/>
      <c r="AZ74" s="278"/>
      <c r="BA74" s="278"/>
      <c r="BB74" s="278"/>
      <c r="BC74" s="287"/>
      <c r="BD74" s="278"/>
      <c r="BE74" s="278"/>
      <c r="BF74" s="278"/>
      <c r="BG74" s="278"/>
      <c r="BH74" s="287"/>
      <c r="BI74" s="278"/>
      <c r="BJ74" s="278"/>
      <c r="BK74" s="278"/>
      <c r="BL74" s="278"/>
      <c r="BM74" s="278"/>
      <c r="BN74" s="278"/>
      <c r="BO74" s="287"/>
      <c r="BP74" s="278"/>
      <c r="BQ74" s="278"/>
      <c r="BR74" s="278"/>
      <c r="BS74" s="278"/>
      <c r="BT74" s="278"/>
      <c r="BU74" s="278"/>
      <c r="BV74" s="287"/>
      <c r="BW74" s="278"/>
      <c r="BX74" s="278"/>
      <c r="BY74" s="278"/>
      <c r="BZ74" s="564"/>
      <c r="CA74" s="564"/>
      <c r="CB74" s="564"/>
      <c r="CC74" s="564"/>
      <c r="CD74" s="280"/>
      <c r="CE74" s="564"/>
      <c r="CF74" s="564"/>
      <c r="CG74" s="564"/>
      <c r="CH74" s="564"/>
      <c r="CI74" s="564"/>
      <c r="CJ74" s="569"/>
      <c r="CK74" s="569"/>
      <c r="CL74" s="569"/>
      <c r="CM74" s="569"/>
      <c r="CN74" s="569"/>
      <c r="CP74" s="284" t="s">
        <v>364</v>
      </c>
      <c r="CQ74" s="284"/>
      <c r="CR74" s="284"/>
      <c r="CS74" s="284"/>
      <c r="CT74" s="284"/>
    </row>
    <row r="75" spans="1:98" s="327" customFormat="1" ht="10.8" x14ac:dyDescent="0.2">
      <c r="F75" s="557" t="s">
        <v>365</v>
      </c>
      <c r="N75" s="284"/>
      <c r="P75" s="558"/>
      <c r="AB75" s="328"/>
      <c r="AC75" s="328"/>
      <c r="AD75" s="328"/>
      <c r="AE75" s="328"/>
      <c r="AF75" s="328"/>
      <c r="AG75" s="328"/>
      <c r="AI75" s="287"/>
      <c r="AJ75" s="287"/>
      <c r="AK75" s="287"/>
      <c r="AL75" s="287"/>
      <c r="AM75" s="287"/>
      <c r="AQ75" s="278" t="s">
        <v>366</v>
      </c>
      <c r="CF75" s="568"/>
      <c r="CH75" s="570"/>
      <c r="CP75" s="284"/>
      <c r="CQ75" s="284"/>
      <c r="CR75" s="284"/>
      <c r="CS75" s="284"/>
      <c r="CT75" s="284"/>
    </row>
    <row r="76" spans="1:98" s="327" customFormat="1" ht="10.8" x14ac:dyDescent="0.2">
      <c r="F76" s="557" t="s">
        <v>367</v>
      </c>
      <c r="N76" s="284"/>
      <c r="P76" s="558"/>
      <c r="AH76" s="287"/>
      <c r="AI76" s="287"/>
      <c r="AJ76" s="287"/>
      <c r="AK76" s="287"/>
      <c r="AL76" s="287"/>
      <c r="AM76" s="287"/>
      <c r="AN76" s="328"/>
      <c r="AQ76" s="284"/>
      <c r="CF76" s="568"/>
      <c r="CH76" s="570"/>
      <c r="CK76" s="328"/>
      <c r="CL76" s="328"/>
      <c r="CM76" s="328"/>
      <c r="CN76" s="328"/>
      <c r="CP76" s="284"/>
      <c r="CQ76" s="284"/>
      <c r="CR76" s="284"/>
      <c r="CS76" s="284"/>
      <c r="CT76" s="284"/>
    </row>
    <row r="77" spans="1:98" s="327" customFormat="1" ht="10.8" x14ac:dyDescent="0.2">
      <c r="B77" s="328"/>
      <c r="F77" s="284" t="s">
        <v>368</v>
      </c>
      <c r="P77" s="558"/>
      <c r="CF77" s="568"/>
      <c r="CH77" s="570"/>
    </row>
    <row r="78" spans="1:98" s="327" customFormat="1" ht="10.8" x14ac:dyDescent="0.2">
      <c r="F78" s="284" t="s">
        <v>369</v>
      </c>
      <c r="P78" s="558"/>
      <c r="CF78" s="568"/>
      <c r="CH78" s="570"/>
    </row>
    <row r="79" spans="1:98" s="327" customFormat="1" ht="10.8" x14ac:dyDescent="0.2">
      <c r="B79" s="571"/>
      <c r="C79" s="571"/>
      <c r="D79" s="571"/>
      <c r="E79" s="571"/>
      <c r="F79" s="284" t="s">
        <v>370</v>
      </c>
      <c r="G79" s="571"/>
      <c r="H79" s="571"/>
      <c r="J79" s="571"/>
      <c r="P79" s="572"/>
      <c r="AB79" s="571"/>
      <c r="AC79" s="571"/>
      <c r="AD79" s="571"/>
      <c r="AE79" s="571"/>
      <c r="AF79" s="571"/>
      <c r="AG79" s="571"/>
      <c r="CF79" s="568"/>
      <c r="CH79" s="570"/>
    </row>
    <row r="80" spans="1:98" s="327" customFormat="1" x14ac:dyDescent="0.2">
      <c r="B80" s="571"/>
      <c r="C80" s="571"/>
      <c r="D80" s="571"/>
      <c r="E80" s="571"/>
      <c r="F80" s="573"/>
      <c r="G80" s="573"/>
      <c r="H80" s="573"/>
      <c r="I80"/>
      <c r="J80" s="573"/>
      <c r="K80"/>
      <c r="L80"/>
      <c r="M80"/>
      <c r="N80"/>
      <c r="O80"/>
      <c r="P80" s="572"/>
      <c r="AB80" s="571"/>
      <c r="AC80" s="571"/>
      <c r="AD80" s="571"/>
      <c r="AE80" s="571"/>
      <c r="AF80" s="571"/>
      <c r="AG80" s="571"/>
      <c r="CF80" s="568"/>
      <c r="CH80" s="570"/>
    </row>
    <row r="81" spans="2:33" x14ac:dyDescent="0.2">
      <c r="B81" s="573"/>
      <c r="C81" s="573"/>
      <c r="D81" s="573"/>
      <c r="E81" s="573"/>
      <c r="F81" s="573"/>
      <c r="G81" s="573"/>
      <c r="H81" s="573"/>
      <c r="J81" s="573"/>
      <c r="P81" s="572"/>
      <c r="AB81" s="573"/>
      <c r="AC81" s="573"/>
      <c r="AD81" s="573"/>
      <c r="AE81" s="573"/>
      <c r="AF81" s="573"/>
      <c r="AG81" s="573"/>
    </row>
    <row r="82" spans="2:33" x14ac:dyDescent="0.2">
      <c r="B82" s="573"/>
      <c r="C82" s="573"/>
      <c r="D82" s="573"/>
      <c r="E82" s="573"/>
      <c r="P82" s="572"/>
      <c r="AB82" s="573"/>
      <c r="AC82" s="573"/>
      <c r="AD82" s="573"/>
      <c r="AE82" s="573"/>
      <c r="AF82" s="573"/>
      <c r="AG82" s="573"/>
    </row>
    <row r="83" spans="2:33" x14ac:dyDescent="0.2">
      <c r="P83" s="572"/>
    </row>
    <row r="140" spans="1:98" ht="14.4" x14ac:dyDescent="0.2">
      <c r="F140" s="574"/>
      <c r="G140" s="574"/>
      <c r="H140" s="574"/>
      <c r="I140" s="574"/>
      <c r="J140" s="574"/>
      <c r="K140" s="574"/>
      <c r="L140" s="574"/>
      <c r="M140" s="574"/>
      <c r="N140" s="574"/>
      <c r="O140" s="574"/>
    </row>
    <row r="141" spans="1:98" ht="24.75" customHeight="1" x14ac:dyDescent="0.2">
      <c r="A141" s="574"/>
      <c r="B141" s="574"/>
      <c r="C141" s="574"/>
      <c r="D141" s="574"/>
      <c r="E141" s="574"/>
      <c r="P141" s="574"/>
      <c r="Q141" s="1575"/>
      <c r="R141" s="1575"/>
      <c r="S141" s="1575"/>
      <c r="T141" s="1575"/>
      <c r="U141" s="1575"/>
      <c r="V141" s="1575"/>
      <c r="W141" s="1575"/>
      <c r="X141" s="1575"/>
      <c r="Y141" s="1575"/>
      <c r="Z141" s="1575"/>
      <c r="AA141" s="574"/>
      <c r="AB141" s="1575"/>
      <c r="AC141" s="1575"/>
      <c r="AD141" s="1575"/>
      <c r="AE141" s="1575"/>
      <c r="AF141" s="1575"/>
      <c r="AG141" s="574"/>
      <c r="AH141" s="1575"/>
      <c r="AI141" s="1575"/>
      <c r="AJ141" s="1575"/>
      <c r="AK141" s="1575"/>
      <c r="AL141" s="1575"/>
      <c r="AM141" s="1575"/>
      <c r="AN141" s="1575"/>
      <c r="AO141" s="1575"/>
      <c r="AP141" s="574"/>
      <c r="AQ141" s="1575"/>
      <c r="AR141" s="1575"/>
      <c r="AS141" s="1575"/>
      <c r="AT141" s="1575"/>
      <c r="AU141" s="1575"/>
      <c r="AV141" s="1575"/>
      <c r="AW141" s="1575"/>
      <c r="AX141" s="1575"/>
      <c r="AY141" s="1575"/>
      <c r="AZ141" s="1575"/>
      <c r="BA141" s="1575"/>
      <c r="BB141" s="1575"/>
      <c r="BC141" s="1575"/>
      <c r="BD141" s="1575"/>
      <c r="BE141" s="1575"/>
      <c r="BF141" s="1575"/>
      <c r="BG141" s="1575"/>
      <c r="BH141" s="1575"/>
      <c r="BI141" s="1575"/>
      <c r="BJ141" s="1575"/>
      <c r="BK141" s="1575"/>
      <c r="BL141" s="1575"/>
      <c r="BM141" s="1575"/>
      <c r="BN141" s="1575"/>
      <c r="BO141" s="1575"/>
      <c r="BP141" s="1575"/>
      <c r="BQ141" s="1575"/>
      <c r="BR141" s="1575"/>
      <c r="BS141" s="1575"/>
      <c r="BT141" s="1575"/>
      <c r="BU141" s="1575"/>
      <c r="BV141" s="1575"/>
      <c r="BW141" s="1575"/>
      <c r="BX141" s="1575"/>
      <c r="BY141" s="1575"/>
      <c r="BZ141" s="1575"/>
      <c r="CA141" s="1575"/>
      <c r="CB141" s="1575"/>
      <c r="CC141" s="574"/>
      <c r="CD141" s="1575"/>
      <c r="CE141" s="1575"/>
      <c r="CF141" s="1575"/>
      <c r="CG141" s="1575"/>
      <c r="CH141" s="1575"/>
      <c r="CI141" s="1575"/>
      <c r="CJ141" s="1575"/>
      <c r="CK141" s="1575"/>
      <c r="CL141" s="1575"/>
      <c r="CM141" s="1575"/>
      <c r="CN141" s="1575"/>
      <c r="CO141" s="1575"/>
      <c r="CP141" s="1575"/>
      <c r="CQ141" s="1575"/>
      <c r="CR141" s="1575"/>
      <c r="CS141" s="574"/>
      <c r="CT141" s="574"/>
    </row>
  </sheetData>
  <autoFilter ref="A6:CT6" xr:uid="{AAE492AE-946C-4359-AB94-A29C946C501E}"/>
  <mergeCells count="78">
    <mergeCell ref="Q141:Z141"/>
    <mergeCell ref="AB141:AF141"/>
    <mergeCell ref="AH141:AO141"/>
    <mergeCell ref="AQ141:CB141"/>
    <mergeCell ref="CD141:CJ141"/>
    <mergeCell ref="CK141:CR141"/>
    <mergeCell ref="CK4:CK5"/>
    <mergeCell ref="CL4:CL5"/>
    <mergeCell ref="CM4:CM5"/>
    <mergeCell ref="CN4:CN5"/>
    <mergeCell ref="CE4:CE5"/>
    <mergeCell ref="B71:D72"/>
    <mergeCell ref="AB71:AF74"/>
    <mergeCell ref="AQ71:AU71"/>
    <mergeCell ref="BD71:BH71"/>
    <mergeCell ref="BP71:BV71"/>
    <mergeCell ref="AW3:AX4"/>
    <mergeCell ref="AI4:AI5"/>
    <mergeCell ref="AK4:AK5"/>
    <mergeCell ref="X3:Y3"/>
    <mergeCell ref="Z3:Z5"/>
    <mergeCell ref="AB3:AB5"/>
    <mergeCell ref="AC3:AC5"/>
    <mergeCell ref="AD3:AD5"/>
    <mergeCell ref="AE3:AE5"/>
    <mergeCell ref="Y4:Y5"/>
    <mergeCell ref="CG4:CG5"/>
    <mergeCell ref="CP3:CP5"/>
    <mergeCell ref="CQ3:CQ5"/>
    <mergeCell ref="CR3:CR5"/>
    <mergeCell ref="CS3:CS5"/>
    <mergeCell ref="CT3:CT5"/>
    <mergeCell ref="C4:C5"/>
    <mergeCell ref="G4:G5"/>
    <mergeCell ref="I4:I5"/>
    <mergeCell ref="K4:K5"/>
    <mergeCell ref="M4:M5"/>
    <mergeCell ref="CA3:CA5"/>
    <mergeCell ref="CB3:CB5"/>
    <mergeCell ref="CF3:CG3"/>
    <mergeCell ref="CH3:CH5"/>
    <mergeCell ref="CI3:CI5"/>
    <mergeCell ref="CJ3:CJ5"/>
    <mergeCell ref="AY3:BC3"/>
    <mergeCell ref="BD3:BH3"/>
    <mergeCell ref="BI3:BO3"/>
    <mergeCell ref="BP3:BV3"/>
    <mergeCell ref="BW3:BY3"/>
    <mergeCell ref="BZ3:BZ5"/>
    <mergeCell ref="AZ4:BA4"/>
    <mergeCell ref="BB4:BC4"/>
    <mergeCell ref="BE4:BF4"/>
    <mergeCell ref="BG4:BH4"/>
    <mergeCell ref="BJ4:BL4"/>
    <mergeCell ref="BM4:BO4"/>
    <mergeCell ref="BQ4:BS4"/>
    <mergeCell ref="BT4:BV4"/>
    <mergeCell ref="AF3:AF5"/>
    <mergeCell ref="AL3:AL5"/>
    <mergeCell ref="AM3:AM5"/>
    <mergeCell ref="AN3:AN5"/>
    <mergeCell ref="AO3:AO5"/>
    <mergeCell ref="V3:W3"/>
    <mergeCell ref="O4:O5"/>
    <mergeCell ref="R4:R5"/>
    <mergeCell ref="U4:U5"/>
    <mergeCell ref="W4:W5"/>
    <mergeCell ref="N3:O3"/>
    <mergeCell ref="P3:P5"/>
    <mergeCell ref="Q3:R3"/>
    <mergeCell ref="S3:S5"/>
    <mergeCell ref="T3:U3"/>
    <mergeCell ref="L3:M3"/>
    <mergeCell ref="B3:C3"/>
    <mergeCell ref="D3:D5"/>
    <mergeCell ref="F3:G3"/>
    <mergeCell ref="H3:I3"/>
    <mergeCell ref="J3:K3"/>
  </mergeCells>
  <phoneticPr fontId="2"/>
  <dataValidations count="1">
    <dataValidation imeMode="disabled" allowBlank="1" showInputMessage="1" showErrorMessage="1" sqref="B7:CT14 B15:AZ15 BB15:CT15 B16:CT68" xr:uid="{76D747B0-D594-4CE2-985E-AFEAAC93BF63}"/>
  </dataValidations>
  <pageMargins left="0.74803149606299213" right="0.23622047244094491" top="0.86614173228346458" bottom="0.39370078740157483" header="0.59055118110236227" footer="0.31496062992125984"/>
  <pageSetup paperSize="9" scale="61" firstPageNumber="8" orientation="portrait" r:id="rId1"/>
  <headerFooter alignWithMargins="0">
    <oddHeader>&amp;L&amp;"ＭＳ Ｐゴシック,太字"&amp;16 ３　保健・福祉</oddHeader>
  </headerFooter>
  <colBreaks count="9" manualBreakCount="9">
    <brk id="15" min="1" max="78" man="1"/>
    <brk id="27" min="1" max="78" man="1"/>
    <brk id="33" min="1" max="78" man="1"/>
    <brk id="42" min="1" max="78" man="1"/>
    <brk id="55" min="1" max="78" man="1"/>
    <brk id="67" min="1" max="78" man="1"/>
    <brk id="81" min="1" max="78" man="1"/>
    <brk id="93" min="1" max="78" man="1"/>
    <brk id="9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3A27-1F61-4CD1-B01D-2B2685E476E9}">
  <dimension ref="A1:BQ150"/>
  <sheetViews>
    <sheetView showGridLines="0" view="pageBreakPreview" zoomScale="85" zoomScaleNormal="100" zoomScaleSheetLayoutView="85" workbookViewId="0">
      <pane xSplit="1" ySplit="6" topLeftCell="B66" activePane="bottomRight" state="frozen"/>
      <selection activeCell="E12" sqref="E12"/>
      <selection pane="topRight" activeCell="E12" sqref="E12"/>
      <selection pane="bottomLeft" activeCell="E12" sqref="E12"/>
      <selection pane="bottomRight" activeCell="D67" sqref="D67"/>
    </sheetView>
  </sheetViews>
  <sheetFormatPr defaultColWidth="8.88671875" defaultRowHeight="13.2" x14ac:dyDescent="0.2"/>
  <cols>
    <col min="1" max="1" width="12.6640625" customWidth="1"/>
    <col min="2" max="2" width="10.6640625" customWidth="1"/>
    <col min="3" max="4" width="8.33203125" customWidth="1"/>
    <col min="5" max="5" width="9.6640625" customWidth="1"/>
    <col min="6" max="6" width="11.109375" customWidth="1"/>
    <col min="7" max="7" width="8.77734375" customWidth="1"/>
    <col min="8" max="8" width="11.77734375" customWidth="1"/>
    <col min="9" max="13" width="8.77734375" customWidth="1"/>
    <col min="14" max="14" width="7.44140625" customWidth="1"/>
  </cols>
  <sheetData>
    <row r="1" spans="1:34" ht="18.75" customHeight="1" x14ac:dyDescent="0.2">
      <c r="A1" s="52" t="s">
        <v>371</v>
      </c>
    </row>
    <row r="2" spans="1:34" ht="18.75" customHeight="1" x14ac:dyDescent="0.2">
      <c r="A2" s="575"/>
      <c r="B2" s="340"/>
    </row>
    <row r="3" spans="1:34" ht="17.25" customHeight="1" x14ac:dyDescent="0.2">
      <c r="A3" s="61" t="s">
        <v>84</v>
      </c>
      <c r="B3" s="1450" t="s">
        <v>372</v>
      </c>
      <c r="C3" s="1587" t="s">
        <v>373</v>
      </c>
      <c r="D3" s="1587" t="s">
        <v>374</v>
      </c>
      <c r="E3" s="1453" t="s">
        <v>856</v>
      </c>
      <c r="F3" s="1492"/>
      <c r="G3" s="1492"/>
      <c r="H3" s="1492"/>
      <c r="I3" s="1492"/>
      <c r="J3" s="1492"/>
      <c r="K3" s="1589"/>
      <c r="L3" s="1492"/>
      <c r="M3" s="1493"/>
      <c r="N3" s="1512" t="s">
        <v>375</v>
      </c>
    </row>
    <row r="4" spans="1:34" ht="17.25" customHeight="1" x14ac:dyDescent="0.2">
      <c r="A4" s="69"/>
      <c r="B4" s="1586"/>
      <c r="C4" s="1588"/>
      <c r="D4" s="1588"/>
      <c r="E4" s="1563" t="s">
        <v>376</v>
      </c>
      <c r="F4" s="1350" t="s">
        <v>377</v>
      </c>
      <c r="G4" s="1351"/>
      <c r="H4" s="1351"/>
      <c r="I4" s="1351"/>
      <c r="J4" s="1351"/>
      <c r="K4" s="1351"/>
      <c r="L4" s="1352"/>
      <c r="M4" s="1590" t="s">
        <v>378</v>
      </c>
      <c r="N4" s="1532"/>
    </row>
    <row r="5" spans="1:34" ht="17.25" customHeight="1" x14ac:dyDescent="0.2">
      <c r="A5" s="576"/>
      <c r="B5" s="1586"/>
      <c r="C5" s="1588"/>
      <c r="D5" s="1588"/>
      <c r="E5" s="1564"/>
      <c r="F5" s="577"/>
      <c r="G5" s="1350" t="s">
        <v>379</v>
      </c>
      <c r="H5" s="1350" t="s">
        <v>380</v>
      </c>
      <c r="I5" s="1350" t="s">
        <v>381</v>
      </c>
      <c r="J5" s="1353" t="s">
        <v>382</v>
      </c>
      <c r="K5" s="1353" t="s">
        <v>383</v>
      </c>
      <c r="L5" s="1353" t="s">
        <v>384</v>
      </c>
      <c r="M5" s="1591"/>
      <c r="N5" s="1533"/>
    </row>
    <row r="6" spans="1:34" ht="17.25" customHeight="1" x14ac:dyDescent="0.2">
      <c r="A6" s="91" t="s">
        <v>128</v>
      </c>
      <c r="B6" s="92" t="s">
        <v>385</v>
      </c>
      <c r="C6" s="94" t="s">
        <v>386</v>
      </c>
      <c r="D6" s="94" t="s">
        <v>386</v>
      </c>
      <c r="E6" s="94" t="s">
        <v>385</v>
      </c>
      <c r="F6" s="94" t="s">
        <v>385</v>
      </c>
      <c r="G6" s="94" t="s">
        <v>385</v>
      </c>
      <c r="H6" s="94" t="s">
        <v>385</v>
      </c>
      <c r="I6" s="94" t="s">
        <v>385</v>
      </c>
      <c r="J6" s="94" t="s">
        <v>385</v>
      </c>
      <c r="K6" s="94" t="s">
        <v>385</v>
      </c>
      <c r="L6" s="94" t="s">
        <v>385</v>
      </c>
      <c r="M6" s="94" t="s">
        <v>385</v>
      </c>
      <c r="N6" s="95" t="s">
        <v>131</v>
      </c>
    </row>
    <row r="7" spans="1:34" ht="15.75" customHeight="1" x14ac:dyDescent="0.2">
      <c r="A7" s="102" t="s">
        <v>142</v>
      </c>
      <c r="B7" s="1359">
        <v>111956</v>
      </c>
      <c r="C7" s="1360">
        <v>1194</v>
      </c>
      <c r="D7" s="1360">
        <v>719</v>
      </c>
      <c r="E7" s="1360">
        <v>12944</v>
      </c>
      <c r="F7" s="1360">
        <v>91802</v>
      </c>
      <c r="G7" s="1360" t="s">
        <v>143</v>
      </c>
      <c r="H7" s="1360">
        <v>73648</v>
      </c>
      <c r="I7" s="1360">
        <v>8831</v>
      </c>
      <c r="J7" s="1360">
        <v>8186</v>
      </c>
      <c r="K7" s="1360">
        <v>454</v>
      </c>
      <c r="L7" s="1361">
        <v>683</v>
      </c>
      <c r="M7" s="1362">
        <v>7210</v>
      </c>
      <c r="N7" s="1363">
        <v>14.6</v>
      </c>
      <c r="X7" s="38"/>
    </row>
    <row r="8" spans="1:34" ht="15.75" customHeight="1" x14ac:dyDescent="0.2">
      <c r="A8" s="121" t="s">
        <v>144</v>
      </c>
      <c r="B8" s="579">
        <v>116108</v>
      </c>
      <c r="C8" s="580">
        <v>948</v>
      </c>
      <c r="D8" s="580">
        <v>435</v>
      </c>
      <c r="E8" s="580">
        <v>3186</v>
      </c>
      <c r="F8" s="580">
        <v>103634</v>
      </c>
      <c r="G8" s="580" t="s">
        <v>143</v>
      </c>
      <c r="H8" s="580">
        <v>74166</v>
      </c>
      <c r="I8" s="580">
        <v>11084</v>
      </c>
      <c r="J8" s="580">
        <v>17229</v>
      </c>
      <c r="K8" s="580">
        <v>7</v>
      </c>
      <c r="L8" s="580">
        <v>1148</v>
      </c>
      <c r="M8" s="581">
        <v>9288</v>
      </c>
      <c r="N8" s="582">
        <v>21.3</v>
      </c>
      <c r="X8" s="38"/>
      <c r="AG8" s="583"/>
      <c r="AH8" s="583"/>
    </row>
    <row r="9" spans="1:34" ht="15.75" customHeight="1" x14ac:dyDescent="0.2">
      <c r="A9" s="102" t="s">
        <v>145</v>
      </c>
      <c r="B9" s="1359">
        <v>107012</v>
      </c>
      <c r="C9" s="1360">
        <v>1038</v>
      </c>
      <c r="D9" s="1360">
        <v>673</v>
      </c>
      <c r="E9" s="1360">
        <v>6843</v>
      </c>
      <c r="F9" s="1360">
        <v>95429</v>
      </c>
      <c r="G9" s="578" t="s">
        <v>143</v>
      </c>
      <c r="H9" s="1360">
        <v>81675</v>
      </c>
      <c r="I9" s="1360">
        <v>5876</v>
      </c>
      <c r="J9" s="1360">
        <v>7355</v>
      </c>
      <c r="K9" s="578" t="s">
        <v>143</v>
      </c>
      <c r="L9" s="1360">
        <v>523</v>
      </c>
      <c r="M9" s="1364">
        <v>4740</v>
      </c>
      <c r="N9" s="1363">
        <v>14.7</v>
      </c>
      <c r="X9" s="38"/>
      <c r="AG9" s="583"/>
      <c r="AH9" s="583"/>
    </row>
    <row r="10" spans="1:34" ht="15.75" customHeight="1" x14ac:dyDescent="0.2">
      <c r="A10" s="121" t="s">
        <v>147</v>
      </c>
      <c r="B10" s="590">
        <v>81503</v>
      </c>
      <c r="C10" s="591">
        <v>976</v>
      </c>
      <c r="D10" s="591">
        <v>647</v>
      </c>
      <c r="E10" s="591">
        <v>7052</v>
      </c>
      <c r="F10" s="591">
        <v>73988</v>
      </c>
      <c r="G10" s="591" t="s">
        <v>143</v>
      </c>
      <c r="H10" s="591">
        <v>63181</v>
      </c>
      <c r="I10" s="591">
        <v>3257</v>
      </c>
      <c r="J10" s="591">
        <v>7161</v>
      </c>
      <c r="K10" s="591">
        <v>56</v>
      </c>
      <c r="L10" s="591">
        <v>333</v>
      </c>
      <c r="M10" s="1365">
        <v>463</v>
      </c>
      <c r="N10" s="592">
        <v>12.7</v>
      </c>
      <c r="Z10" s="38"/>
      <c r="AG10" s="583"/>
      <c r="AH10" s="583"/>
    </row>
    <row r="11" spans="1:34" ht="15.75" customHeight="1" x14ac:dyDescent="0.2">
      <c r="A11" s="102" t="s">
        <v>148</v>
      </c>
      <c r="B11" s="586">
        <v>108210</v>
      </c>
      <c r="C11" s="587">
        <v>1024.3842646852172</v>
      </c>
      <c r="D11" s="587">
        <v>632.03969533045495</v>
      </c>
      <c r="E11" s="587">
        <v>8380</v>
      </c>
      <c r="F11" s="587">
        <v>94589</v>
      </c>
      <c r="G11" s="587">
        <v>0</v>
      </c>
      <c r="H11" s="587">
        <v>78068</v>
      </c>
      <c r="I11" s="587">
        <v>4702</v>
      </c>
      <c r="J11" s="587">
        <v>10917</v>
      </c>
      <c r="K11" s="587">
        <v>0</v>
      </c>
      <c r="L11" s="587">
        <v>902</v>
      </c>
      <c r="M11" s="588">
        <v>5241</v>
      </c>
      <c r="N11" s="589">
        <v>15.6</v>
      </c>
      <c r="Y11" s="583"/>
      <c r="Z11" s="584"/>
      <c r="AA11" s="585"/>
      <c r="AB11" s="583"/>
      <c r="AD11" s="583"/>
      <c r="AF11" s="583"/>
      <c r="AG11" s="583"/>
      <c r="AH11" s="583"/>
    </row>
    <row r="12" spans="1:34" ht="15.75" customHeight="1" x14ac:dyDescent="0.2">
      <c r="A12" s="121" t="s">
        <v>149</v>
      </c>
      <c r="B12" s="590">
        <v>113094</v>
      </c>
      <c r="C12" s="591">
        <v>1004</v>
      </c>
      <c r="D12" s="591">
        <v>509</v>
      </c>
      <c r="E12" s="591">
        <v>7531</v>
      </c>
      <c r="F12" s="591">
        <v>102322</v>
      </c>
      <c r="G12" s="591">
        <v>89978</v>
      </c>
      <c r="H12" s="591" t="s">
        <v>143</v>
      </c>
      <c r="I12" s="591" t="s">
        <v>143</v>
      </c>
      <c r="J12" s="591">
        <v>11211</v>
      </c>
      <c r="K12" s="591">
        <v>17</v>
      </c>
      <c r="L12" s="591">
        <v>1116</v>
      </c>
      <c r="M12" s="1365">
        <v>3241</v>
      </c>
      <c r="N12" s="592">
        <v>22.8</v>
      </c>
      <c r="X12" s="38"/>
      <c r="AG12" s="583"/>
      <c r="AH12" s="583"/>
    </row>
    <row r="13" spans="1:34" ht="15.75" customHeight="1" x14ac:dyDescent="0.2">
      <c r="A13" s="169" t="s">
        <v>150</v>
      </c>
      <c r="B13" s="1359">
        <v>85176</v>
      </c>
      <c r="C13" s="1360">
        <v>954</v>
      </c>
      <c r="D13" s="1360">
        <v>548</v>
      </c>
      <c r="E13" s="1360">
        <v>4693</v>
      </c>
      <c r="F13" s="1360">
        <v>73978</v>
      </c>
      <c r="G13" s="1360">
        <v>0</v>
      </c>
      <c r="H13" s="1360">
        <v>62560</v>
      </c>
      <c r="I13" s="1360">
        <v>4500</v>
      </c>
      <c r="J13" s="1360">
        <v>6325</v>
      </c>
      <c r="K13" s="1360">
        <v>106</v>
      </c>
      <c r="L13" s="1360">
        <v>487</v>
      </c>
      <c r="M13" s="1364">
        <v>6505</v>
      </c>
      <c r="N13" s="1363">
        <v>19.3</v>
      </c>
      <c r="X13" s="38"/>
      <c r="AG13" s="583"/>
      <c r="AH13" s="583"/>
    </row>
    <row r="14" spans="1:34" ht="15.75" customHeight="1" x14ac:dyDescent="0.2">
      <c r="A14" s="121" t="s">
        <v>151</v>
      </c>
      <c r="B14" s="590">
        <v>113794</v>
      </c>
      <c r="C14" s="591">
        <v>1120</v>
      </c>
      <c r="D14" s="591">
        <v>710</v>
      </c>
      <c r="E14" s="591">
        <v>10983</v>
      </c>
      <c r="F14" s="591">
        <v>100729</v>
      </c>
      <c r="G14" s="591" t="s">
        <v>143</v>
      </c>
      <c r="H14" s="591">
        <v>86051</v>
      </c>
      <c r="I14" s="591">
        <v>5020</v>
      </c>
      <c r="J14" s="591">
        <v>8704</v>
      </c>
      <c r="K14" s="591" t="s">
        <v>139</v>
      </c>
      <c r="L14" s="591">
        <v>954</v>
      </c>
      <c r="M14" s="1365">
        <v>2082</v>
      </c>
      <c r="N14" s="592">
        <v>10.1</v>
      </c>
      <c r="Z14" s="38"/>
      <c r="AG14" s="583"/>
      <c r="AH14" s="583"/>
    </row>
    <row r="15" spans="1:34" ht="15.75" customHeight="1" x14ac:dyDescent="0.2">
      <c r="A15" s="169" t="s">
        <v>153</v>
      </c>
      <c r="B15" s="1359">
        <v>139195</v>
      </c>
      <c r="C15" s="1360">
        <v>1177</v>
      </c>
      <c r="D15" s="1360">
        <v>647</v>
      </c>
      <c r="E15" s="1360">
        <v>17168</v>
      </c>
      <c r="F15" s="1360">
        <v>117612</v>
      </c>
      <c r="G15" s="578">
        <v>0</v>
      </c>
      <c r="H15" s="1360">
        <v>106398</v>
      </c>
      <c r="I15" s="1360">
        <v>3490</v>
      </c>
      <c r="J15" s="1360">
        <v>7041</v>
      </c>
      <c r="K15" s="578">
        <v>0</v>
      </c>
      <c r="L15" s="1360">
        <v>683</v>
      </c>
      <c r="M15" s="1364">
        <v>4415</v>
      </c>
      <c r="N15" s="1363">
        <v>9.5</v>
      </c>
      <c r="Y15" s="583"/>
      <c r="Z15" s="584"/>
      <c r="AA15" s="585"/>
      <c r="AB15" s="583"/>
      <c r="AD15" s="583"/>
      <c r="AF15" s="583"/>
      <c r="AG15" s="583"/>
      <c r="AH15" s="583"/>
    </row>
    <row r="16" spans="1:34" ht="15.75" customHeight="1" x14ac:dyDescent="0.2">
      <c r="A16" s="121" t="s">
        <v>154</v>
      </c>
      <c r="B16" s="579">
        <v>126510</v>
      </c>
      <c r="C16" s="580">
        <v>1016</v>
      </c>
      <c r="D16" s="580">
        <v>664.75509020878849</v>
      </c>
      <c r="E16" s="580">
        <v>6523</v>
      </c>
      <c r="F16" s="580">
        <v>113385</v>
      </c>
      <c r="G16" s="580">
        <v>0</v>
      </c>
      <c r="H16" s="580">
        <v>102228</v>
      </c>
      <c r="I16" s="580">
        <v>1290</v>
      </c>
      <c r="J16" s="580">
        <v>9179</v>
      </c>
      <c r="K16" s="580">
        <v>0</v>
      </c>
      <c r="L16" s="580">
        <v>688</v>
      </c>
      <c r="M16" s="581">
        <v>6602</v>
      </c>
      <c r="N16" s="582">
        <v>22.3</v>
      </c>
      <c r="X16" s="38"/>
    </row>
    <row r="17" spans="1:24" ht="15.75" customHeight="1" x14ac:dyDescent="0.2">
      <c r="A17" s="169" t="s">
        <v>155</v>
      </c>
      <c r="B17" s="586">
        <v>118193</v>
      </c>
      <c r="C17" s="587">
        <v>1191</v>
      </c>
      <c r="D17" s="587">
        <v>779</v>
      </c>
      <c r="E17" s="587">
        <v>6414</v>
      </c>
      <c r="F17" s="587">
        <v>72005</v>
      </c>
      <c r="G17" s="587">
        <v>0</v>
      </c>
      <c r="H17" s="587">
        <v>65154</v>
      </c>
      <c r="I17" s="587">
        <v>3489</v>
      </c>
      <c r="J17" s="587">
        <v>3351</v>
      </c>
      <c r="K17" s="587">
        <v>0</v>
      </c>
      <c r="L17" s="587">
        <v>11</v>
      </c>
      <c r="M17" s="588">
        <v>3292</v>
      </c>
      <c r="N17" s="589">
        <v>17.87</v>
      </c>
      <c r="X17" s="38"/>
    </row>
    <row r="18" spans="1:24" ht="15.75" customHeight="1" x14ac:dyDescent="0.2">
      <c r="A18" s="121" t="s">
        <v>157</v>
      </c>
      <c r="B18" s="590">
        <v>179132</v>
      </c>
      <c r="C18" s="591">
        <v>938</v>
      </c>
      <c r="D18" s="591">
        <v>556</v>
      </c>
      <c r="E18" s="591">
        <v>16980</v>
      </c>
      <c r="F18" s="591">
        <v>154898</v>
      </c>
      <c r="G18" s="591">
        <v>0</v>
      </c>
      <c r="H18" s="591">
        <v>130605</v>
      </c>
      <c r="I18" s="591">
        <v>3167</v>
      </c>
      <c r="J18" s="591">
        <v>21057</v>
      </c>
      <c r="K18" s="591">
        <v>1</v>
      </c>
      <c r="L18" s="591">
        <v>68</v>
      </c>
      <c r="M18" s="1365">
        <v>7254</v>
      </c>
      <c r="N18" s="592">
        <v>15</v>
      </c>
      <c r="X18" s="38"/>
    </row>
    <row r="19" spans="1:24" ht="15.75" customHeight="1" x14ac:dyDescent="0.2">
      <c r="A19" s="169" t="s">
        <v>158</v>
      </c>
      <c r="B19" s="586">
        <v>112999</v>
      </c>
      <c r="C19" s="587">
        <v>918</v>
      </c>
      <c r="D19" s="587">
        <v>571</v>
      </c>
      <c r="E19" s="587">
        <v>7891</v>
      </c>
      <c r="F19" s="587">
        <v>97358</v>
      </c>
      <c r="G19" s="587" t="s">
        <v>143</v>
      </c>
      <c r="H19" s="587">
        <v>86698</v>
      </c>
      <c r="I19" s="587">
        <v>2690</v>
      </c>
      <c r="J19" s="587">
        <v>6228</v>
      </c>
      <c r="K19" s="587">
        <v>207</v>
      </c>
      <c r="L19" s="587">
        <v>1535</v>
      </c>
      <c r="M19" s="588">
        <v>7750</v>
      </c>
      <c r="N19" s="589">
        <v>20</v>
      </c>
      <c r="X19" s="38"/>
    </row>
    <row r="20" spans="1:24" ht="15.75" customHeight="1" x14ac:dyDescent="0.2">
      <c r="A20" s="121" t="s">
        <v>159</v>
      </c>
      <c r="B20" s="590">
        <v>130953</v>
      </c>
      <c r="C20" s="591">
        <v>959</v>
      </c>
      <c r="D20" s="591">
        <v>611</v>
      </c>
      <c r="E20" s="591">
        <v>6143</v>
      </c>
      <c r="F20" s="591">
        <v>117913</v>
      </c>
      <c r="G20" s="591" t="s">
        <v>143</v>
      </c>
      <c r="H20" s="591">
        <v>104902</v>
      </c>
      <c r="I20" s="591">
        <v>4594</v>
      </c>
      <c r="J20" s="591">
        <v>7907</v>
      </c>
      <c r="K20" s="591" t="s">
        <v>143</v>
      </c>
      <c r="L20" s="591">
        <v>510</v>
      </c>
      <c r="M20" s="1365">
        <v>6143</v>
      </c>
      <c r="N20" s="592">
        <v>12.1</v>
      </c>
      <c r="X20" s="38"/>
    </row>
    <row r="21" spans="1:24" ht="15.75" customHeight="1" x14ac:dyDescent="0.2">
      <c r="A21" s="169" t="s">
        <v>163</v>
      </c>
      <c r="B21" s="586">
        <v>110354</v>
      </c>
      <c r="C21" s="587">
        <v>853</v>
      </c>
      <c r="D21" s="587">
        <v>503</v>
      </c>
      <c r="E21" s="587">
        <v>6221</v>
      </c>
      <c r="F21" s="587">
        <v>98422</v>
      </c>
      <c r="G21" s="587">
        <v>0</v>
      </c>
      <c r="H21" s="587">
        <v>82389</v>
      </c>
      <c r="I21" s="587">
        <v>3177</v>
      </c>
      <c r="J21" s="587">
        <v>12525</v>
      </c>
      <c r="K21" s="587">
        <v>86</v>
      </c>
      <c r="L21" s="587">
        <v>245</v>
      </c>
      <c r="M21" s="588">
        <v>5711</v>
      </c>
      <c r="N21" s="589">
        <v>23.3</v>
      </c>
      <c r="X21" s="38"/>
    </row>
    <row r="22" spans="1:24" ht="15.75" customHeight="1" x14ac:dyDescent="0.2">
      <c r="A22" s="121" t="s">
        <v>166</v>
      </c>
      <c r="B22" s="590">
        <v>183566</v>
      </c>
      <c r="C22" s="591">
        <v>826</v>
      </c>
      <c r="D22" s="591">
        <v>483</v>
      </c>
      <c r="E22" s="591">
        <v>12128</v>
      </c>
      <c r="F22" s="591">
        <v>159613</v>
      </c>
      <c r="G22" s="591">
        <v>138056</v>
      </c>
      <c r="H22" s="591">
        <v>0</v>
      </c>
      <c r="I22" s="591">
        <v>0</v>
      </c>
      <c r="J22" s="591">
        <v>18798</v>
      </c>
      <c r="K22" s="591">
        <v>101</v>
      </c>
      <c r="L22" s="591">
        <v>2658</v>
      </c>
      <c r="M22" s="1365">
        <v>11823</v>
      </c>
      <c r="N22" s="592">
        <v>22.4</v>
      </c>
      <c r="X22" s="38"/>
    </row>
    <row r="23" spans="1:24" ht="15.75" customHeight="1" x14ac:dyDescent="0.2">
      <c r="A23" s="169" t="s">
        <v>167</v>
      </c>
      <c r="B23" s="586">
        <v>106237</v>
      </c>
      <c r="C23" s="587">
        <v>844</v>
      </c>
      <c r="D23" s="587">
        <v>528</v>
      </c>
      <c r="E23" s="587">
        <v>1580</v>
      </c>
      <c r="F23" s="587">
        <v>98556</v>
      </c>
      <c r="G23" s="587">
        <v>0</v>
      </c>
      <c r="H23" s="587">
        <v>87903</v>
      </c>
      <c r="I23" s="587">
        <v>2000</v>
      </c>
      <c r="J23" s="587">
        <v>7510</v>
      </c>
      <c r="K23" s="587">
        <v>259</v>
      </c>
      <c r="L23" s="587">
        <v>884</v>
      </c>
      <c r="M23" s="588">
        <v>6101</v>
      </c>
      <c r="N23" s="589">
        <v>17.7</v>
      </c>
      <c r="X23" s="38"/>
    </row>
    <row r="24" spans="1:24" ht="15.75" customHeight="1" x14ac:dyDescent="0.2">
      <c r="A24" s="121" t="s">
        <v>168</v>
      </c>
      <c r="B24" s="590">
        <v>206222</v>
      </c>
      <c r="C24" s="591">
        <v>877</v>
      </c>
      <c r="D24" s="591">
        <v>538</v>
      </c>
      <c r="E24" s="591">
        <v>11197</v>
      </c>
      <c r="F24" s="591">
        <f>SUM(G24:L24)</f>
        <v>177593</v>
      </c>
      <c r="G24" s="591">
        <v>0</v>
      </c>
      <c r="H24" s="591">
        <v>160122</v>
      </c>
      <c r="I24" s="591">
        <v>3352</v>
      </c>
      <c r="J24" s="591">
        <v>10343</v>
      </c>
      <c r="K24" s="591">
        <v>76</v>
      </c>
      <c r="L24" s="591">
        <v>3700</v>
      </c>
      <c r="M24" s="1365">
        <v>17432</v>
      </c>
      <c r="N24" s="592">
        <v>21.5</v>
      </c>
      <c r="X24" s="38"/>
    </row>
    <row r="25" spans="1:24" ht="15.75" customHeight="1" x14ac:dyDescent="0.2">
      <c r="A25" s="169" t="s">
        <v>171</v>
      </c>
      <c r="B25" s="586">
        <v>138084</v>
      </c>
      <c r="C25" s="587">
        <v>885</v>
      </c>
      <c r="D25" s="587">
        <v>433</v>
      </c>
      <c r="E25" s="587">
        <v>9057</v>
      </c>
      <c r="F25" s="587">
        <v>129027</v>
      </c>
      <c r="G25" s="587" t="s">
        <v>143</v>
      </c>
      <c r="H25" s="587">
        <v>94116</v>
      </c>
      <c r="I25" s="587">
        <v>7279</v>
      </c>
      <c r="J25" s="587">
        <v>26731</v>
      </c>
      <c r="K25" s="587">
        <v>125</v>
      </c>
      <c r="L25" s="587">
        <v>776</v>
      </c>
      <c r="M25" s="588" t="s">
        <v>143</v>
      </c>
      <c r="N25" s="589">
        <v>19.100000000000001</v>
      </c>
      <c r="X25" s="38"/>
    </row>
    <row r="26" spans="1:24" ht="15.75" customHeight="1" x14ac:dyDescent="0.2">
      <c r="A26" s="121" t="s">
        <v>172</v>
      </c>
      <c r="B26" s="579">
        <v>158638</v>
      </c>
      <c r="C26" s="580">
        <v>770</v>
      </c>
      <c r="D26" s="580">
        <v>640</v>
      </c>
      <c r="E26" s="580">
        <v>3576</v>
      </c>
      <c r="F26" s="580">
        <v>148136</v>
      </c>
      <c r="G26" s="580">
        <v>0</v>
      </c>
      <c r="H26" s="580">
        <v>108796</v>
      </c>
      <c r="I26" s="580">
        <v>4604</v>
      </c>
      <c r="J26" s="580">
        <v>31783</v>
      </c>
      <c r="K26" s="580">
        <v>352</v>
      </c>
      <c r="L26" s="580">
        <v>2601</v>
      </c>
      <c r="M26" s="581">
        <v>6926</v>
      </c>
      <c r="N26" s="582">
        <v>33.9</v>
      </c>
      <c r="X26" s="38"/>
    </row>
    <row r="27" spans="1:24" ht="15.75" customHeight="1" x14ac:dyDescent="0.2">
      <c r="A27" s="169" t="s">
        <v>173</v>
      </c>
      <c r="B27" s="586">
        <v>131299</v>
      </c>
      <c r="C27" s="587">
        <v>911</v>
      </c>
      <c r="D27" s="587">
        <v>482</v>
      </c>
      <c r="E27" s="587">
        <v>10378</v>
      </c>
      <c r="F27" s="587">
        <v>101241</v>
      </c>
      <c r="G27" s="587" t="s">
        <v>143</v>
      </c>
      <c r="H27" s="587">
        <v>87803</v>
      </c>
      <c r="I27" s="587">
        <v>4176</v>
      </c>
      <c r="J27" s="587">
        <v>14063</v>
      </c>
      <c r="K27" s="587" t="s">
        <v>143</v>
      </c>
      <c r="L27" s="587">
        <v>1199</v>
      </c>
      <c r="M27" s="588">
        <v>19682</v>
      </c>
      <c r="N27" s="589">
        <v>31.2</v>
      </c>
      <c r="X27" s="38"/>
    </row>
    <row r="28" spans="1:24" ht="15.75" customHeight="1" x14ac:dyDescent="0.2">
      <c r="A28" s="121" t="s">
        <v>174</v>
      </c>
      <c r="B28" s="590">
        <v>163290</v>
      </c>
      <c r="C28" s="591">
        <v>1076</v>
      </c>
      <c r="D28" s="591">
        <v>714</v>
      </c>
      <c r="E28" s="591">
        <v>787</v>
      </c>
      <c r="F28" s="591">
        <v>150703</v>
      </c>
      <c r="G28" s="591" t="s">
        <v>143</v>
      </c>
      <c r="H28" s="591">
        <v>122046</v>
      </c>
      <c r="I28" s="591">
        <v>5301</v>
      </c>
      <c r="J28" s="591">
        <v>21926</v>
      </c>
      <c r="K28" s="591">
        <v>1430</v>
      </c>
      <c r="L28" s="591" t="s">
        <v>143</v>
      </c>
      <c r="M28" s="1365">
        <v>11800</v>
      </c>
      <c r="N28" s="592">
        <v>23.4</v>
      </c>
      <c r="X28" s="38"/>
    </row>
    <row r="29" spans="1:24" ht="15.75" customHeight="1" x14ac:dyDescent="0.2">
      <c r="A29" s="169" t="s">
        <v>175</v>
      </c>
      <c r="B29" s="586">
        <v>155761</v>
      </c>
      <c r="C29" s="587">
        <v>941</v>
      </c>
      <c r="D29" s="587">
        <v>543</v>
      </c>
      <c r="E29" s="587">
        <v>13830</v>
      </c>
      <c r="F29" s="587">
        <v>137418</v>
      </c>
      <c r="G29" s="587">
        <v>0</v>
      </c>
      <c r="H29" s="587">
        <v>118846</v>
      </c>
      <c r="I29" s="587">
        <v>4661</v>
      </c>
      <c r="J29" s="587">
        <v>12254</v>
      </c>
      <c r="K29" s="587">
        <v>0</v>
      </c>
      <c r="L29" s="587">
        <v>1657</v>
      </c>
      <c r="M29" s="588">
        <v>4513</v>
      </c>
      <c r="N29" s="589">
        <v>13.3</v>
      </c>
      <c r="X29" s="38"/>
    </row>
    <row r="30" spans="1:24" ht="15.75" customHeight="1" x14ac:dyDescent="0.2">
      <c r="A30" s="121" t="s">
        <v>251</v>
      </c>
      <c r="B30" s="590">
        <v>90744</v>
      </c>
      <c r="C30" s="591">
        <v>942</v>
      </c>
      <c r="D30" s="591">
        <v>539</v>
      </c>
      <c r="E30" s="591">
        <v>6849</v>
      </c>
      <c r="F30" s="591">
        <v>79040</v>
      </c>
      <c r="G30" s="591">
        <v>0</v>
      </c>
      <c r="H30" s="591">
        <v>65588</v>
      </c>
      <c r="I30" s="591">
        <v>8750</v>
      </c>
      <c r="J30" s="591">
        <v>4438</v>
      </c>
      <c r="K30" s="591">
        <v>0</v>
      </c>
      <c r="L30" s="591">
        <v>264</v>
      </c>
      <c r="M30" s="1365">
        <v>4855</v>
      </c>
      <c r="N30" s="592">
        <v>11.7</v>
      </c>
      <c r="X30" s="38"/>
    </row>
    <row r="31" spans="1:24" ht="15.75" customHeight="1" x14ac:dyDescent="0.2">
      <c r="A31" s="169" t="s">
        <v>178</v>
      </c>
      <c r="B31" s="1366">
        <v>73220</v>
      </c>
      <c r="C31" s="1367">
        <v>1065</v>
      </c>
      <c r="D31" s="1367">
        <v>716</v>
      </c>
      <c r="E31" s="1367">
        <v>4864</v>
      </c>
      <c r="F31" s="1367">
        <v>63841</v>
      </c>
      <c r="G31" s="1367" t="s">
        <v>143</v>
      </c>
      <c r="H31" s="1367">
        <v>54404</v>
      </c>
      <c r="I31" s="1367">
        <v>4205</v>
      </c>
      <c r="J31" s="1367">
        <v>5232</v>
      </c>
      <c r="K31" s="1367" t="s">
        <v>143</v>
      </c>
      <c r="L31" s="1367" t="s">
        <v>143</v>
      </c>
      <c r="M31" s="1367">
        <v>4515</v>
      </c>
      <c r="N31" s="1368">
        <v>19.100000000000001</v>
      </c>
      <c r="X31" s="38"/>
    </row>
    <row r="32" spans="1:24" ht="15.75" customHeight="1" x14ac:dyDescent="0.2">
      <c r="A32" s="121" t="s">
        <v>179</v>
      </c>
      <c r="B32" s="590">
        <v>125744</v>
      </c>
      <c r="C32" s="591">
        <v>913</v>
      </c>
      <c r="D32" s="591">
        <v>609</v>
      </c>
      <c r="E32" s="591">
        <v>4532</v>
      </c>
      <c r="F32" s="591">
        <v>111286</v>
      </c>
      <c r="G32" s="591">
        <v>0</v>
      </c>
      <c r="H32" s="591">
        <v>89065</v>
      </c>
      <c r="I32" s="591">
        <v>5215</v>
      </c>
      <c r="J32" s="591">
        <v>17006</v>
      </c>
      <c r="K32" s="591">
        <v>0</v>
      </c>
      <c r="L32" s="591">
        <v>0</v>
      </c>
      <c r="M32" s="1365">
        <v>9926</v>
      </c>
      <c r="N32" s="592">
        <v>27.2</v>
      </c>
      <c r="X32" s="38"/>
    </row>
    <row r="33" spans="1:24" ht="15.75" customHeight="1" x14ac:dyDescent="0.2">
      <c r="A33" s="169" t="s">
        <v>340</v>
      </c>
      <c r="B33" s="1366">
        <v>89846</v>
      </c>
      <c r="C33" s="1367">
        <v>1028</v>
      </c>
      <c r="D33" s="1367">
        <v>551</v>
      </c>
      <c r="E33" s="1367">
        <v>5103</v>
      </c>
      <c r="F33" s="1367">
        <v>83055</v>
      </c>
      <c r="G33" s="1367" t="s">
        <v>143</v>
      </c>
      <c r="H33" s="1367">
        <v>74853</v>
      </c>
      <c r="I33" s="1367">
        <v>974</v>
      </c>
      <c r="J33" s="1367">
        <v>7228</v>
      </c>
      <c r="K33" s="1367" t="s">
        <v>143</v>
      </c>
      <c r="L33" s="1367" t="s">
        <v>143</v>
      </c>
      <c r="M33" s="1367">
        <v>1688</v>
      </c>
      <c r="N33" s="1368">
        <v>12.8</v>
      </c>
      <c r="X33" s="38"/>
    </row>
    <row r="34" spans="1:24" ht="15.75" customHeight="1" x14ac:dyDescent="0.2">
      <c r="A34" s="121" t="s">
        <v>181</v>
      </c>
      <c r="B34" s="590">
        <v>139670</v>
      </c>
      <c r="C34" s="591">
        <v>951</v>
      </c>
      <c r="D34" s="591">
        <v>539</v>
      </c>
      <c r="E34" s="591">
        <v>7643</v>
      </c>
      <c r="F34" s="591">
        <v>125923</v>
      </c>
      <c r="G34" s="1369" t="s">
        <v>143</v>
      </c>
      <c r="H34" s="591">
        <v>112779</v>
      </c>
      <c r="I34" s="591" t="s">
        <v>143</v>
      </c>
      <c r="J34" s="591">
        <v>9630</v>
      </c>
      <c r="K34" s="1369">
        <v>174</v>
      </c>
      <c r="L34" s="591">
        <v>3340</v>
      </c>
      <c r="M34" s="1365">
        <v>6104</v>
      </c>
      <c r="N34" s="592">
        <v>11.6</v>
      </c>
      <c r="X34" s="38"/>
    </row>
    <row r="35" spans="1:24" ht="15.75" customHeight="1" x14ac:dyDescent="0.2">
      <c r="A35" s="169" t="s">
        <v>182</v>
      </c>
      <c r="B35" s="586">
        <v>130925</v>
      </c>
      <c r="C35" s="587">
        <v>948</v>
      </c>
      <c r="D35" s="587">
        <v>421</v>
      </c>
      <c r="E35" s="587">
        <v>20500</v>
      </c>
      <c r="F35" s="587">
        <v>103666</v>
      </c>
      <c r="G35" s="587" t="s">
        <v>143</v>
      </c>
      <c r="H35" s="587">
        <v>71009</v>
      </c>
      <c r="I35" s="587">
        <v>5018</v>
      </c>
      <c r="J35" s="587">
        <v>27209</v>
      </c>
      <c r="K35" s="587">
        <v>178</v>
      </c>
      <c r="L35" s="587">
        <v>252</v>
      </c>
      <c r="M35" s="588">
        <v>6759</v>
      </c>
      <c r="N35" s="589">
        <v>27.2</v>
      </c>
      <c r="X35" s="38"/>
    </row>
    <row r="36" spans="1:24" ht="15.75" customHeight="1" x14ac:dyDescent="0.2">
      <c r="A36" s="121" t="s">
        <v>183</v>
      </c>
      <c r="B36" s="590">
        <v>138110</v>
      </c>
      <c r="C36" s="591">
        <v>976</v>
      </c>
      <c r="D36" s="591">
        <v>581</v>
      </c>
      <c r="E36" s="591">
        <v>20731</v>
      </c>
      <c r="F36" s="591">
        <v>111562</v>
      </c>
      <c r="G36" s="1370" t="s">
        <v>143</v>
      </c>
      <c r="H36" s="591">
        <v>100129</v>
      </c>
      <c r="I36" s="591">
        <v>3579</v>
      </c>
      <c r="J36" s="591">
        <v>7511</v>
      </c>
      <c r="K36" s="1370">
        <v>138</v>
      </c>
      <c r="L36" s="1370">
        <v>205</v>
      </c>
      <c r="M36" s="1365">
        <v>5817</v>
      </c>
      <c r="N36" s="592">
        <v>19.399999999999999</v>
      </c>
      <c r="X36" s="38"/>
    </row>
    <row r="37" spans="1:24" ht="15.75" customHeight="1" x14ac:dyDescent="0.2">
      <c r="A37" s="169" t="s">
        <v>184</v>
      </c>
      <c r="B37" s="586">
        <v>121259</v>
      </c>
      <c r="C37" s="587">
        <v>860</v>
      </c>
      <c r="D37" s="587">
        <v>558</v>
      </c>
      <c r="E37" s="587">
        <v>9750</v>
      </c>
      <c r="F37" s="587">
        <v>110507</v>
      </c>
      <c r="G37" s="587" t="s">
        <v>143</v>
      </c>
      <c r="H37" s="587">
        <v>88448</v>
      </c>
      <c r="I37" s="587">
        <v>4849</v>
      </c>
      <c r="J37" s="587">
        <v>16139</v>
      </c>
      <c r="K37" s="587">
        <v>124</v>
      </c>
      <c r="L37" s="587">
        <v>947</v>
      </c>
      <c r="M37" s="587">
        <v>1002</v>
      </c>
      <c r="N37" s="589">
        <v>14.9</v>
      </c>
      <c r="X37" s="38"/>
    </row>
    <row r="38" spans="1:24" ht="15.75" customHeight="1" x14ac:dyDescent="0.2">
      <c r="A38" s="121" t="s">
        <v>185</v>
      </c>
      <c r="B38" s="590">
        <v>156086</v>
      </c>
      <c r="C38" s="591">
        <v>1001</v>
      </c>
      <c r="D38" s="591">
        <v>544</v>
      </c>
      <c r="E38" s="591">
        <v>27546</v>
      </c>
      <c r="F38" s="591">
        <v>124569</v>
      </c>
      <c r="G38" s="591">
        <v>0</v>
      </c>
      <c r="H38" s="591">
        <v>106577</v>
      </c>
      <c r="I38" s="591">
        <v>3013</v>
      </c>
      <c r="J38" s="591">
        <v>13850</v>
      </c>
      <c r="K38" s="591">
        <v>272</v>
      </c>
      <c r="L38" s="591">
        <v>857</v>
      </c>
      <c r="M38" s="591">
        <v>3971</v>
      </c>
      <c r="N38" s="592">
        <v>20.9</v>
      </c>
      <c r="X38" s="38"/>
    </row>
    <row r="39" spans="1:24" ht="15.75" customHeight="1" x14ac:dyDescent="0.2">
      <c r="A39" s="169" t="s">
        <v>186</v>
      </c>
      <c r="B39" s="586">
        <v>104358</v>
      </c>
      <c r="C39" s="587">
        <v>830</v>
      </c>
      <c r="D39" s="587">
        <f>((71932-7359-40)*1000000)/(343563*366)</f>
        <v>513.20914106334953</v>
      </c>
      <c r="E39" s="587">
        <v>2813</v>
      </c>
      <c r="F39" s="587">
        <v>94501</v>
      </c>
      <c r="G39" s="587" t="s">
        <v>143</v>
      </c>
      <c r="H39" s="587">
        <f>59798+23492</f>
        <v>83290</v>
      </c>
      <c r="I39" s="587">
        <f>2718+113</f>
        <v>2831</v>
      </c>
      <c r="J39" s="587">
        <v>7359</v>
      </c>
      <c r="K39" s="587">
        <f>40</f>
        <v>40</v>
      </c>
      <c r="L39" s="587">
        <v>981</v>
      </c>
      <c r="M39" s="587">
        <v>7044</v>
      </c>
      <c r="N39" s="589">
        <v>15.7</v>
      </c>
      <c r="X39" s="38"/>
    </row>
    <row r="40" spans="1:24" ht="15.75" customHeight="1" x14ac:dyDescent="0.2">
      <c r="A40" s="121" t="s">
        <v>187</v>
      </c>
      <c r="B40" s="590">
        <v>122551</v>
      </c>
      <c r="C40" s="591">
        <v>820</v>
      </c>
      <c r="D40" s="591">
        <v>507</v>
      </c>
      <c r="E40" s="591">
        <v>6397</v>
      </c>
      <c r="F40" s="591">
        <v>110963</v>
      </c>
      <c r="G40" s="591">
        <v>0</v>
      </c>
      <c r="H40" s="591">
        <v>93333</v>
      </c>
      <c r="I40" s="591">
        <v>3288</v>
      </c>
      <c r="J40" s="591">
        <v>13072</v>
      </c>
      <c r="K40" s="591">
        <v>0</v>
      </c>
      <c r="L40" s="591">
        <v>1270</v>
      </c>
      <c r="M40" s="1365">
        <v>5191</v>
      </c>
      <c r="N40" s="592">
        <v>14.7</v>
      </c>
      <c r="X40" s="38"/>
    </row>
    <row r="41" spans="1:24" ht="15.75" customHeight="1" x14ac:dyDescent="0.2">
      <c r="A41" s="169" t="s">
        <v>188</v>
      </c>
      <c r="B41" s="1359">
        <v>116092.24</v>
      </c>
      <c r="C41" s="1360">
        <v>850</v>
      </c>
      <c r="D41" s="1360">
        <v>594</v>
      </c>
      <c r="E41" s="1360">
        <v>4026.74</v>
      </c>
      <c r="F41" s="1360">
        <v>104517.79</v>
      </c>
      <c r="G41" s="1360">
        <v>0</v>
      </c>
      <c r="H41" s="1360">
        <v>88739.33</v>
      </c>
      <c r="I41" s="1360">
        <v>2901.04</v>
      </c>
      <c r="J41" s="1360">
        <v>7319.39</v>
      </c>
      <c r="K41" s="1360">
        <v>1011.21</v>
      </c>
      <c r="L41" s="1360">
        <v>4546.82</v>
      </c>
      <c r="M41" s="1364">
        <v>7547.71</v>
      </c>
      <c r="N41" s="1363">
        <v>15.35</v>
      </c>
      <c r="X41" s="38"/>
    </row>
    <row r="42" spans="1:24" ht="15.75" customHeight="1" x14ac:dyDescent="0.2">
      <c r="A42" s="121" t="s">
        <v>190</v>
      </c>
      <c r="B42" s="579">
        <v>115947</v>
      </c>
      <c r="C42" s="580">
        <v>901</v>
      </c>
      <c r="D42" s="580">
        <v>626</v>
      </c>
      <c r="E42" s="580">
        <v>5629</v>
      </c>
      <c r="F42" s="580">
        <v>101288</v>
      </c>
      <c r="G42" s="580">
        <v>0</v>
      </c>
      <c r="H42" s="580">
        <v>56390</v>
      </c>
      <c r="I42" s="580">
        <v>3150</v>
      </c>
      <c r="J42" s="580">
        <v>6477</v>
      </c>
      <c r="K42" s="580">
        <v>0</v>
      </c>
      <c r="L42" s="580">
        <v>5059</v>
      </c>
      <c r="M42" s="581">
        <v>9030</v>
      </c>
      <c r="N42" s="582">
        <v>13.1</v>
      </c>
      <c r="X42" s="38"/>
    </row>
    <row r="43" spans="1:24" ht="15.75" customHeight="1" x14ac:dyDescent="0.2">
      <c r="A43" s="169" t="s">
        <v>191</v>
      </c>
      <c r="B43" s="1359">
        <v>119146</v>
      </c>
      <c r="C43" s="1360">
        <v>811</v>
      </c>
      <c r="D43" s="1360">
        <v>593</v>
      </c>
      <c r="E43" s="1360">
        <v>1254</v>
      </c>
      <c r="F43" s="1360">
        <v>104280</v>
      </c>
      <c r="G43" s="1360" t="s">
        <v>143</v>
      </c>
      <c r="H43" s="1360">
        <v>88296</v>
      </c>
      <c r="I43" s="1360" t="s">
        <v>143</v>
      </c>
      <c r="J43" s="1360">
        <v>8679</v>
      </c>
      <c r="K43" s="1360">
        <v>11</v>
      </c>
      <c r="L43" s="1360">
        <v>7294</v>
      </c>
      <c r="M43" s="1364">
        <v>13612</v>
      </c>
      <c r="N43" s="1363">
        <v>19.600000000000001</v>
      </c>
      <c r="X43" s="38"/>
    </row>
    <row r="44" spans="1:24" ht="15.75" customHeight="1" x14ac:dyDescent="0.2">
      <c r="A44" s="121" t="s">
        <v>253</v>
      </c>
      <c r="B44" s="579">
        <v>80999</v>
      </c>
      <c r="C44" s="580">
        <v>830</v>
      </c>
      <c r="D44" s="580">
        <v>480</v>
      </c>
      <c r="E44" s="580">
        <v>714</v>
      </c>
      <c r="F44" s="580">
        <v>50718</v>
      </c>
      <c r="G44" s="580" t="s">
        <v>143</v>
      </c>
      <c r="H44" s="580">
        <v>43614</v>
      </c>
      <c r="I44" s="580">
        <v>1753</v>
      </c>
      <c r="J44" s="580">
        <v>4559</v>
      </c>
      <c r="K44" s="580" t="s">
        <v>143</v>
      </c>
      <c r="L44" s="580">
        <v>792</v>
      </c>
      <c r="M44" s="581">
        <v>7261</v>
      </c>
      <c r="N44" s="582">
        <v>13.8</v>
      </c>
      <c r="X44" s="38"/>
    </row>
    <row r="45" spans="1:24" ht="15.75" customHeight="1" x14ac:dyDescent="0.2">
      <c r="A45" s="169" t="s">
        <v>193</v>
      </c>
      <c r="B45" s="586">
        <v>71771</v>
      </c>
      <c r="C45" s="587">
        <v>845</v>
      </c>
      <c r="D45" s="587">
        <v>456</v>
      </c>
      <c r="E45" s="587">
        <v>2425</v>
      </c>
      <c r="F45" s="587">
        <v>63524</v>
      </c>
      <c r="G45" s="587" t="s">
        <v>143</v>
      </c>
      <c r="H45" s="587">
        <v>49500</v>
      </c>
      <c r="I45" s="587">
        <v>3063</v>
      </c>
      <c r="J45" s="587">
        <v>10156</v>
      </c>
      <c r="K45" s="587">
        <v>105</v>
      </c>
      <c r="L45" s="587">
        <v>700</v>
      </c>
      <c r="M45" s="587">
        <v>5822</v>
      </c>
      <c r="N45" s="593">
        <v>21.1</v>
      </c>
      <c r="X45" s="38"/>
    </row>
    <row r="46" spans="1:24" ht="15.75" customHeight="1" x14ac:dyDescent="0.2">
      <c r="A46" s="121" t="s">
        <v>194</v>
      </c>
      <c r="B46" s="590">
        <v>181023</v>
      </c>
      <c r="C46" s="591">
        <v>1014</v>
      </c>
      <c r="D46" s="591">
        <v>919</v>
      </c>
      <c r="E46" s="591">
        <v>1294</v>
      </c>
      <c r="F46" s="591">
        <v>169734</v>
      </c>
      <c r="G46" s="591">
        <v>158008</v>
      </c>
      <c r="H46" s="591" t="s">
        <v>143</v>
      </c>
      <c r="I46" s="591" t="s">
        <v>143</v>
      </c>
      <c r="J46" s="591">
        <v>7028</v>
      </c>
      <c r="K46" s="591" t="s">
        <v>143</v>
      </c>
      <c r="L46" s="591">
        <v>4698</v>
      </c>
      <c r="M46" s="1365">
        <v>9995</v>
      </c>
      <c r="N46" s="592">
        <v>9.3000000000000007</v>
      </c>
      <c r="X46" s="38"/>
    </row>
    <row r="47" spans="1:24" ht="15.75" customHeight="1" x14ac:dyDescent="0.2">
      <c r="A47" s="169" t="s">
        <v>195</v>
      </c>
      <c r="B47" s="586">
        <v>188080</v>
      </c>
      <c r="C47" s="587">
        <v>972</v>
      </c>
      <c r="D47" s="587">
        <v>648</v>
      </c>
      <c r="E47" s="587">
        <v>23453</v>
      </c>
      <c r="F47" s="587">
        <v>163036</v>
      </c>
      <c r="G47" s="587" t="s">
        <v>143</v>
      </c>
      <c r="H47" s="587">
        <v>140678</v>
      </c>
      <c r="I47" s="587">
        <v>1986</v>
      </c>
      <c r="J47" s="587">
        <v>12329</v>
      </c>
      <c r="K47" s="587" t="s">
        <v>143</v>
      </c>
      <c r="L47" s="587">
        <v>8043</v>
      </c>
      <c r="M47" s="588">
        <v>1591</v>
      </c>
      <c r="N47" s="589">
        <v>16.399999999999999</v>
      </c>
      <c r="X47" s="38"/>
    </row>
    <row r="48" spans="1:24" ht="15.75" customHeight="1" x14ac:dyDescent="0.2">
      <c r="A48" s="121" t="s">
        <v>196</v>
      </c>
      <c r="B48" s="590">
        <v>153347</v>
      </c>
      <c r="C48" s="591">
        <v>904</v>
      </c>
      <c r="D48" s="591">
        <v>487</v>
      </c>
      <c r="E48" s="591">
        <v>8847</v>
      </c>
      <c r="F48" s="591">
        <v>139017</v>
      </c>
      <c r="G48" s="591" t="s">
        <v>143</v>
      </c>
      <c r="H48" s="591">
        <v>119773</v>
      </c>
      <c r="I48" s="591">
        <v>1548</v>
      </c>
      <c r="J48" s="591">
        <v>14192</v>
      </c>
      <c r="K48" s="591" t="s">
        <v>143</v>
      </c>
      <c r="L48" s="591">
        <v>3504</v>
      </c>
      <c r="M48" s="1365">
        <v>5483</v>
      </c>
      <c r="N48" s="592">
        <v>12.5</v>
      </c>
      <c r="X48" s="38"/>
    </row>
    <row r="49" spans="1:24" ht="15.75" customHeight="1" x14ac:dyDescent="0.2">
      <c r="A49" s="169" t="s">
        <v>197</v>
      </c>
      <c r="B49" s="1359">
        <f>SUM(E49,F49,M49)</f>
        <v>99336</v>
      </c>
      <c r="C49" s="1360">
        <v>894</v>
      </c>
      <c r="D49" s="1360">
        <v>626</v>
      </c>
      <c r="E49" s="1360">
        <v>6465</v>
      </c>
      <c r="F49" s="1360">
        <f>SUM(G49:L49)</f>
        <v>88406</v>
      </c>
      <c r="G49" s="1360" t="s">
        <v>143</v>
      </c>
      <c r="H49" s="1360">
        <v>77409</v>
      </c>
      <c r="I49" s="1360">
        <v>4171</v>
      </c>
      <c r="J49" s="1360">
        <v>6057</v>
      </c>
      <c r="K49" s="1360" t="s">
        <v>143</v>
      </c>
      <c r="L49" s="1360">
        <v>769</v>
      </c>
      <c r="M49" s="1364">
        <v>4465</v>
      </c>
      <c r="N49" s="1363">
        <v>10.61</v>
      </c>
      <c r="X49" s="38"/>
    </row>
    <row r="50" spans="1:24" ht="15.75" customHeight="1" x14ac:dyDescent="0.2">
      <c r="A50" s="121" t="s">
        <v>198</v>
      </c>
      <c r="B50" s="1371">
        <f>E50+F50+M50</f>
        <v>168853</v>
      </c>
      <c r="C50" s="1372">
        <f>B50/365/486799*1000000</f>
        <v>950.31205673000477</v>
      </c>
      <c r="D50" s="1372">
        <f>(96046-5370-736-2109-28)/365/486799*1000000</f>
        <v>494.15911779515091</v>
      </c>
      <c r="E50" s="1372">
        <v>13872</v>
      </c>
      <c r="F50" s="1372">
        <v>144769</v>
      </c>
      <c r="G50" s="1372">
        <v>0</v>
      </c>
      <c r="H50" s="1372">
        <v>127180</v>
      </c>
      <c r="I50" s="1372">
        <v>7022</v>
      </c>
      <c r="J50" s="1372">
        <v>8243</v>
      </c>
      <c r="K50" s="1372">
        <v>0</v>
      </c>
      <c r="L50" s="1372">
        <v>2324</v>
      </c>
      <c r="M50" s="1373">
        <v>10212</v>
      </c>
      <c r="N50" s="1374">
        <v>13.6</v>
      </c>
      <c r="X50" s="38"/>
    </row>
    <row r="51" spans="1:24" ht="15.75" customHeight="1" x14ac:dyDescent="0.2">
      <c r="A51" s="169" t="s">
        <v>200</v>
      </c>
      <c r="B51" s="586">
        <v>110483</v>
      </c>
      <c r="C51" s="587">
        <v>848</v>
      </c>
      <c r="D51" s="587">
        <v>590</v>
      </c>
      <c r="E51" s="587">
        <v>7800</v>
      </c>
      <c r="F51" s="587">
        <v>88333</v>
      </c>
      <c r="G51" s="587" t="s">
        <v>139</v>
      </c>
      <c r="H51" s="587">
        <v>74570</v>
      </c>
      <c r="I51" s="587">
        <v>3311</v>
      </c>
      <c r="J51" s="587">
        <v>5925</v>
      </c>
      <c r="K51" s="587">
        <v>2087</v>
      </c>
      <c r="L51" s="587">
        <v>2440</v>
      </c>
      <c r="M51" s="588">
        <v>14350</v>
      </c>
      <c r="N51" s="589">
        <v>20.7</v>
      </c>
      <c r="X51" s="38"/>
    </row>
    <row r="52" spans="1:24" ht="15.75" customHeight="1" x14ac:dyDescent="0.2">
      <c r="A52" s="121" t="s">
        <v>201</v>
      </c>
      <c r="B52" s="590">
        <v>125707</v>
      </c>
      <c r="C52" s="591">
        <v>935</v>
      </c>
      <c r="D52" s="591">
        <v>663</v>
      </c>
      <c r="E52" s="591">
        <v>13235</v>
      </c>
      <c r="F52" s="591">
        <v>111731</v>
      </c>
      <c r="G52" s="591">
        <v>102480</v>
      </c>
      <c r="H52" s="591" t="s">
        <v>143</v>
      </c>
      <c r="I52" s="591" t="s">
        <v>143</v>
      </c>
      <c r="J52" s="591">
        <v>7058</v>
      </c>
      <c r="K52" s="591" t="s">
        <v>143</v>
      </c>
      <c r="L52" s="591">
        <v>2193</v>
      </c>
      <c r="M52" s="1365">
        <v>741</v>
      </c>
      <c r="N52" s="592">
        <v>6.8</v>
      </c>
      <c r="X52" s="38"/>
    </row>
    <row r="53" spans="1:24" ht="15.75" customHeight="1" x14ac:dyDescent="0.2">
      <c r="A53" s="169" t="s">
        <v>202</v>
      </c>
      <c r="B53" s="1359">
        <v>61806.777999999998</v>
      </c>
      <c r="C53" s="1360">
        <v>907</v>
      </c>
      <c r="D53" s="1360">
        <v>486</v>
      </c>
      <c r="E53" s="1360">
        <v>3842</v>
      </c>
      <c r="F53" s="1360">
        <v>55652.89</v>
      </c>
      <c r="G53" s="1360" t="s">
        <v>143</v>
      </c>
      <c r="H53" s="1360">
        <v>47227</v>
      </c>
      <c r="I53" s="1360">
        <v>1447</v>
      </c>
      <c r="J53" s="1360">
        <v>6878.89</v>
      </c>
      <c r="K53" s="1360" t="s">
        <v>143</v>
      </c>
      <c r="L53" s="1360">
        <v>100</v>
      </c>
      <c r="M53" s="1364">
        <v>2311.8880000000004</v>
      </c>
      <c r="N53" s="1363">
        <v>15.3</v>
      </c>
      <c r="X53" s="38"/>
    </row>
    <row r="54" spans="1:24" ht="15.75" customHeight="1" x14ac:dyDescent="0.2">
      <c r="A54" s="121" t="s">
        <v>203</v>
      </c>
      <c r="B54" s="579">
        <v>77373</v>
      </c>
      <c r="C54" s="580">
        <v>1046</v>
      </c>
      <c r="D54" s="580">
        <v>549</v>
      </c>
      <c r="E54" s="580">
        <v>8776</v>
      </c>
      <c r="F54" s="580">
        <v>68597</v>
      </c>
      <c r="G54" s="580">
        <v>0</v>
      </c>
      <c r="H54" s="580">
        <v>52496</v>
      </c>
      <c r="I54" s="580">
        <v>794</v>
      </c>
      <c r="J54" s="580">
        <v>14947</v>
      </c>
      <c r="K54" s="580">
        <v>13</v>
      </c>
      <c r="L54" s="580">
        <v>347</v>
      </c>
      <c r="M54" s="581" t="s">
        <v>143</v>
      </c>
      <c r="N54" s="582">
        <v>26.9</v>
      </c>
      <c r="X54" s="38"/>
    </row>
    <row r="55" spans="1:24" s="1078" customFormat="1" ht="15.75" customHeight="1" x14ac:dyDescent="0.2">
      <c r="A55" s="169" t="s">
        <v>204</v>
      </c>
      <c r="B55" s="1359">
        <v>187664</v>
      </c>
      <c r="C55" s="1360">
        <v>1066</v>
      </c>
      <c r="D55" s="1360">
        <v>509</v>
      </c>
      <c r="E55" s="1360">
        <v>30841</v>
      </c>
      <c r="F55" s="1360">
        <v>145652</v>
      </c>
      <c r="G55" s="1360">
        <v>0</v>
      </c>
      <c r="H55" s="1360">
        <v>139268</v>
      </c>
      <c r="I55" s="1360">
        <v>1536</v>
      </c>
      <c r="J55" s="1360">
        <v>4562</v>
      </c>
      <c r="K55" s="1360">
        <v>0</v>
      </c>
      <c r="L55" s="1360">
        <v>286</v>
      </c>
      <c r="M55" s="1364">
        <v>11171</v>
      </c>
      <c r="N55" s="1363">
        <v>46</v>
      </c>
      <c r="X55" s="1079"/>
    </row>
    <row r="56" spans="1:24" ht="15.75" customHeight="1" x14ac:dyDescent="0.2">
      <c r="A56" s="121" t="s">
        <v>254</v>
      </c>
      <c r="B56" s="579">
        <v>78276</v>
      </c>
      <c r="C56" s="580">
        <v>962</v>
      </c>
      <c r="D56" s="580">
        <v>663</v>
      </c>
      <c r="E56" s="580">
        <v>9457</v>
      </c>
      <c r="F56" s="580">
        <v>65318</v>
      </c>
      <c r="G56" s="580"/>
      <c r="H56" s="580">
        <v>54176</v>
      </c>
      <c r="I56" s="580">
        <v>2505</v>
      </c>
      <c r="J56" s="580">
        <v>6144</v>
      </c>
      <c r="K56" s="580">
        <v>133</v>
      </c>
      <c r="L56" s="580">
        <v>2360</v>
      </c>
      <c r="M56" s="581">
        <v>3501</v>
      </c>
      <c r="N56" s="582">
        <v>14</v>
      </c>
      <c r="X56" s="38"/>
    </row>
    <row r="57" spans="1:24" ht="15.75" customHeight="1" x14ac:dyDescent="0.2">
      <c r="A57" s="169" t="s">
        <v>207</v>
      </c>
      <c r="B57" s="1359">
        <v>160630</v>
      </c>
      <c r="C57" s="1360">
        <v>938</v>
      </c>
      <c r="D57" s="1360">
        <v>839</v>
      </c>
      <c r="E57" s="1360">
        <v>6070</v>
      </c>
      <c r="F57" s="1360">
        <v>147226</v>
      </c>
      <c r="G57" s="1360" t="s">
        <v>143</v>
      </c>
      <c r="H57" s="1360">
        <v>129786</v>
      </c>
      <c r="I57" s="1360">
        <v>4658</v>
      </c>
      <c r="J57" s="1360">
        <v>10826</v>
      </c>
      <c r="K57" s="1360" t="s">
        <v>143</v>
      </c>
      <c r="L57" s="1360">
        <v>1956</v>
      </c>
      <c r="M57" s="1364">
        <v>7334</v>
      </c>
      <c r="N57" s="1363">
        <v>43.3</v>
      </c>
      <c r="X57" s="38"/>
    </row>
    <row r="58" spans="1:24" ht="15.75" customHeight="1" x14ac:dyDescent="0.2">
      <c r="A58" s="121" t="s">
        <v>209</v>
      </c>
      <c r="B58" s="590">
        <v>98579</v>
      </c>
      <c r="C58" s="591">
        <v>1030</v>
      </c>
      <c r="D58" s="591">
        <v>607</v>
      </c>
      <c r="E58" s="591">
        <v>40461</v>
      </c>
      <c r="F58" s="591">
        <v>54340</v>
      </c>
      <c r="G58" s="591" t="s">
        <v>143</v>
      </c>
      <c r="H58" s="591">
        <v>43098</v>
      </c>
      <c r="I58" s="591" t="s">
        <v>143</v>
      </c>
      <c r="J58" s="591">
        <v>8694</v>
      </c>
      <c r="K58" s="591">
        <v>57</v>
      </c>
      <c r="L58" s="591">
        <v>2491</v>
      </c>
      <c r="M58" s="1365">
        <v>3778</v>
      </c>
      <c r="N58" s="592">
        <v>39.299999999999997</v>
      </c>
      <c r="X58" s="38"/>
    </row>
    <row r="59" spans="1:24" ht="15.75" customHeight="1" x14ac:dyDescent="0.2">
      <c r="A59" s="169" t="s">
        <v>210</v>
      </c>
      <c r="B59" s="586">
        <v>140956</v>
      </c>
      <c r="C59" s="587">
        <v>901</v>
      </c>
      <c r="D59" s="587">
        <v>390</v>
      </c>
      <c r="E59" s="587">
        <v>4258</v>
      </c>
      <c r="F59" s="587">
        <v>136698</v>
      </c>
      <c r="G59" s="587" t="s">
        <v>143</v>
      </c>
      <c r="H59" s="587">
        <v>102573</v>
      </c>
      <c r="I59" s="587">
        <v>8719</v>
      </c>
      <c r="J59" s="587">
        <v>24581</v>
      </c>
      <c r="K59" s="587" t="s">
        <v>143</v>
      </c>
      <c r="L59" s="587">
        <v>825</v>
      </c>
      <c r="M59" s="588" t="s">
        <v>143</v>
      </c>
      <c r="N59" s="589">
        <v>17.399999999999999</v>
      </c>
      <c r="X59" s="38"/>
    </row>
    <row r="60" spans="1:24" ht="15.75" customHeight="1" x14ac:dyDescent="0.2">
      <c r="A60" s="121" t="s">
        <v>212</v>
      </c>
      <c r="B60" s="590">
        <v>144733</v>
      </c>
      <c r="C60" s="591">
        <v>773</v>
      </c>
      <c r="D60" s="591">
        <v>498</v>
      </c>
      <c r="E60" s="591">
        <v>33778</v>
      </c>
      <c r="F60" s="591">
        <v>110955</v>
      </c>
      <c r="G60" s="591" t="s">
        <v>143</v>
      </c>
      <c r="H60" s="591">
        <v>85234</v>
      </c>
      <c r="I60" s="591">
        <v>1385</v>
      </c>
      <c r="J60" s="591">
        <v>21179</v>
      </c>
      <c r="K60" s="591">
        <v>175</v>
      </c>
      <c r="L60" s="591">
        <v>2982</v>
      </c>
      <c r="M60" s="1365" t="s">
        <v>143</v>
      </c>
      <c r="N60" s="592">
        <v>18.899999999999999</v>
      </c>
      <c r="X60" s="38"/>
    </row>
    <row r="61" spans="1:24" ht="15.75" customHeight="1" x14ac:dyDescent="0.2">
      <c r="A61" s="169" t="s">
        <v>213</v>
      </c>
      <c r="B61" s="1359">
        <v>123106</v>
      </c>
      <c r="C61" s="1360">
        <v>1025</v>
      </c>
      <c r="D61" s="1360">
        <v>666</v>
      </c>
      <c r="E61" s="1360">
        <v>9314</v>
      </c>
      <c r="F61" s="1360">
        <v>113792</v>
      </c>
      <c r="G61" s="1360" t="s">
        <v>143</v>
      </c>
      <c r="H61" s="1360">
        <v>97954</v>
      </c>
      <c r="I61" s="1360">
        <v>1090</v>
      </c>
      <c r="J61" s="1360">
        <v>10649</v>
      </c>
      <c r="K61" s="1360">
        <v>221</v>
      </c>
      <c r="L61" s="1360">
        <v>3878</v>
      </c>
      <c r="M61" s="1364" t="s">
        <v>143</v>
      </c>
      <c r="N61" s="1363">
        <v>17.7</v>
      </c>
      <c r="X61" s="38"/>
    </row>
    <row r="62" spans="1:24" ht="15.75" customHeight="1" x14ac:dyDescent="0.2">
      <c r="A62" s="121" t="s">
        <v>215</v>
      </c>
      <c r="B62" s="579">
        <v>102611</v>
      </c>
      <c r="C62" s="580">
        <v>919</v>
      </c>
      <c r="D62" s="580">
        <v>612</v>
      </c>
      <c r="E62" s="580">
        <v>15886</v>
      </c>
      <c r="F62" s="580">
        <v>84454</v>
      </c>
      <c r="G62" s="580">
        <v>0</v>
      </c>
      <c r="H62" s="580">
        <v>75986</v>
      </c>
      <c r="I62" s="580">
        <v>790</v>
      </c>
      <c r="J62" s="580">
        <v>6869</v>
      </c>
      <c r="K62" s="580" t="s">
        <v>143</v>
      </c>
      <c r="L62" s="580">
        <v>809</v>
      </c>
      <c r="M62" s="581">
        <v>2271</v>
      </c>
      <c r="N62" s="582">
        <v>21.9</v>
      </c>
      <c r="X62" s="38"/>
    </row>
    <row r="63" spans="1:24" ht="15.75" customHeight="1" x14ac:dyDescent="0.2">
      <c r="A63" s="169" t="s">
        <v>216</v>
      </c>
      <c r="B63" s="1375">
        <v>149058</v>
      </c>
      <c r="C63" s="587">
        <v>971</v>
      </c>
      <c r="D63" s="587">
        <v>540</v>
      </c>
      <c r="E63" s="587">
        <v>45610</v>
      </c>
      <c r="F63" s="587">
        <v>97738</v>
      </c>
      <c r="G63" s="587" t="s">
        <v>143</v>
      </c>
      <c r="H63" s="587">
        <v>76192</v>
      </c>
      <c r="I63" s="587">
        <v>5778</v>
      </c>
      <c r="J63" s="587">
        <v>15040</v>
      </c>
      <c r="K63" s="587">
        <v>151</v>
      </c>
      <c r="L63" s="587">
        <v>577</v>
      </c>
      <c r="M63" s="587">
        <v>5710</v>
      </c>
      <c r="N63" s="1376">
        <v>13.5</v>
      </c>
      <c r="X63" s="38"/>
    </row>
    <row r="64" spans="1:24" ht="15.75" customHeight="1" x14ac:dyDescent="0.2">
      <c r="A64" s="121" t="s">
        <v>217</v>
      </c>
      <c r="B64" s="1377">
        <v>89501</v>
      </c>
      <c r="C64" s="580">
        <v>978</v>
      </c>
      <c r="D64" s="580">
        <v>483</v>
      </c>
      <c r="E64" s="580">
        <v>6541</v>
      </c>
      <c r="F64" s="580">
        <v>79091</v>
      </c>
      <c r="G64" s="580">
        <v>0</v>
      </c>
      <c r="H64" s="580">
        <v>71035</v>
      </c>
      <c r="I64" s="580">
        <v>4208</v>
      </c>
      <c r="J64" s="580">
        <v>3605</v>
      </c>
      <c r="K64" s="580">
        <v>0</v>
      </c>
      <c r="L64" s="580">
        <v>243</v>
      </c>
      <c r="M64" s="580">
        <v>3869</v>
      </c>
      <c r="N64" s="1378">
        <v>18</v>
      </c>
      <c r="X64" s="38"/>
    </row>
    <row r="65" spans="1:69" ht="15.75" customHeight="1" x14ac:dyDescent="0.2">
      <c r="A65" s="169" t="s">
        <v>219</v>
      </c>
      <c r="B65" s="1375">
        <v>166229</v>
      </c>
      <c r="C65" s="587">
        <v>949</v>
      </c>
      <c r="D65" s="587">
        <v>517</v>
      </c>
      <c r="E65" s="587">
        <v>9803</v>
      </c>
      <c r="F65" s="587">
        <v>153450</v>
      </c>
      <c r="G65" s="587" t="s">
        <v>143</v>
      </c>
      <c r="H65" s="587">
        <v>129724</v>
      </c>
      <c r="I65" s="587">
        <v>4119</v>
      </c>
      <c r="J65" s="587">
        <v>19607</v>
      </c>
      <c r="K65" s="587" t="s">
        <v>143</v>
      </c>
      <c r="L65" s="587" t="s">
        <v>143</v>
      </c>
      <c r="M65" s="587">
        <v>2976</v>
      </c>
      <c r="N65" s="1376">
        <v>19.2</v>
      </c>
      <c r="X65" s="38"/>
    </row>
    <row r="66" spans="1:69" ht="15.75" customHeight="1" x14ac:dyDescent="0.2">
      <c r="A66" s="121" t="s">
        <v>220</v>
      </c>
      <c r="B66" s="1377">
        <v>142569</v>
      </c>
      <c r="C66" s="580">
        <v>969</v>
      </c>
      <c r="D66" s="580">
        <v>687</v>
      </c>
      <c r="E66" s="580">
        <v>18855</v>
      </c>
      <c r="F66" s="580">
        <v>122525</v>
      </c>
      <c r="G66" s="580">
        <v>0</v>
      </c>
      <c r="H66" s="580">
        <v>97886</v>
      </c>
      <c r="I66" s="580">
        <v>2952</v>
      </c>
      <c r="J66" s="580">
        <v>21305</v>
      </c>
      <c r="K66" s="580">
        <v>0</v>
      </c>
      <c r="L66" s="580">
        <v>382</v>
      </c>
      <c r="M66" s="580">
        <v>1189</v>
      </c>
      <c r="N66" s="1378">
        <v>15.3</v>
      </c>
      <c r="X66" s="38"/>
    </row>
    <row r="67" spans="1:69" ht="15.75" customHeight="1" x14ac:dyDescent="0.2">
      <c r="A67" s="169" t="s">
        <v>221</v>
      </c>
      <c r="B67" s="1379">
        <v>215270</v>
      </c>
      <c r="C67" s="1360">
        <v>976</v>
      </c>
      <c r="D67" s="1360">
        <v>647</v>
      </c>
      <c r="E67" s="1360">
        <v>72525</v>
      </c>
      <c r="F67" s="1360">
        <v>140170</v>
      </c>
      <c r="G67" s="1362" t="s">
        <v>143</v>
      </c>
      <c r="H67" s="1360">
        <v>110052</v>
      </c>
      <c r="I67" s="1360">
        <v>1706</v>
      </c>
      <c r="J67" s="1360">
        <v>27501</v>
      </c>
      <c r="K67" s="1360" t="s">
        <v>143</v>
      </c>
      <c r="L67" s="1360">
        <v>911</v>
      </c>
      <c r="M67" s="1360">
        <v>2575</v>
      </c>
      <c r="N67" s="593">
        <v>12.7</v>
      </c>
      <c r="P67" s="38"/>
      <c r="X67" s="38"/>
      <c r="AP67" s="594"/>
      <c r="AV67" s="595"/>
      <c r="BQ67" t="s">
        <v>143</v>
      </c>
    </row>
    <row r="68" spans="1:69" ht="15.75" customHeight="1" thickBot="1" x14ac:dyDescent="0.25">
      <c r="A68" s="121" t="s">
        <v>223</v>
      </c>
      <c r="B68" s="590">
        <v>105302</v>
      </c>
      <c r="C68" s="591">
        <v>894</v>
      </c>
      <c r="D68" s="591">
        <v>470</v>
      </c>
      <c r="E68" s="591">
        <v>3592</v>
      </c>
      <c r="F68" s="591">
        <v>101521</v>
      </c>
      <c r="G68" s="591">
        <v>0</v>
      </c>
      <c r="H68" s="591">
        <v>86876</v>
      </c>
      <c r="I68" s="591">
        <v>1973</v>
      </c>
      <c r="J68" s="591">
        <v>11778</v>
      </c>
      <c r="K68" s="591">
        <v>145</v>
      </c>
      <c r="L68" s="591">
        <v>749</v>
      </c>
      <c r="M68" s="1365">
        <v>189</v>
      </c>
      <c r="N68" s="592">
        <v>17.100000000000001</v>
      </c>
      <c r="O68" s="15"/>
      <c r="X68" s="38"/>
    </row>
    <row r="69" spans="1:69" ht="18" customHeight="1" thickTop="1" x14ac:dyDescent="0.2">
      <c r="A69" s="239" t="s">
        <v>224</v>
      </c>
      <c r="B69" s="596">
        <f>SUM(B7:B68)</f>
        <v>7864247.0180000002</v>
      </c>
      <c r="C69" s="597">
        <f t="shared" ref="C69:M69" si="0">SUM(C7:C68)</f>
        <v>58832.69632141522</v>
      </c>
      <c r="D69" s="597">
        <f>SUM(D7:D68)</f>
        <v>35983.163044397748</v>
      </c>
      <c r="E69" s="597">
        <f t="shared" si="0"/>
        <v>716836.74</v>
      </c>
      <c r="F69" s="597">
        <f t="shared" si="0"/>
        <v>6735797.6799999997</v>
      </c>
      <c r="G69" s="597">
        <f t="shared" si="0"/>
        <v>488522</v>
      </c>
      <c r="H69" s="597">
        <f t="shared" si="0"/>
        <v>5182542.33</v>
      </c>
      <c r="I69" s="597">
        <f t="shared" si="0"/>
        <v>210827.04</v>
      </c>
      <c r="J69" s="597">
        <f t="shared" si="0"/>
        <v>728646.28</v>
      </c>
      <c r="K69" s="597">
        <f t="shared" si="0"/>
        <v>8312.2099999999991</v>
      </c>
      <c r="L69" s="597">
        <f t="shared" si="0"/>
        <v>92735.82</v>
      </c>
      <c r="M69" s="597">
        <f t="shared" si="0"/>
        <v>352070.59799999994</v>
      </c>
      <c r="N69" s="598" t="s">
        <v>139</v>
      </c>
      <c r="O69" s="15"/>
      <c r="X69" s="38"/>
    </row>
    <row r="70" spans="1:69" ht="18" customHeight="1" x14ac:dyDescent="0.2">
      <c r="A70" s="599" t="s">
        <v>225</v>
      </c>
      <c r="B70" s="600">
        <f>AVERAGE(B7:B68)</f>
        <v>126842.69383870967</v>
      </c>
      <c r="C70" s="601">
        <f t="shared" ref="C70:N70" si="1">AVERAGE(C7:C68)</f>
        <v>948.91445679701962</v>
      </c>
      <c r="D70" s="601">
        <f>AVERAGE(D7:D68)</f>
        <v>580.37359749028622</v>
      </c>
      <c r="E70" s="601">
        <f t="shared" si="1"/>
        <v>11561.882903225805</v>
      </c>
      <c r="F70" s="601">
        <f t="shared" si="1"/>
        <v>108641.89806451612</v>
      </c>
      <c r="G70" s="601">
        <f t="shared" si="1"/>
        <v>17447.214285714286</v>
      </c>
      <c r="H70" s="601">
        <f t="shared" si="1"/>
        <v>87839.700508474576</v>
      </c>
      <c r="I70" s="601">
        <f t="shared" si="1"/>
        <v>3764.7685714285717</v>
      </c>
      <c r="J70" s="601">
        <f t="shared" si="1"/>
        <v>11752.359354838711</v>
      </c>
      <c r="K70" s="601">
        <f t="shared" si="1"/>
        <v>188.91386363636363</v>
      </c>
      <c r="L70" s="601">
        <f t="shared" si="1"/>
        <v>1598.8934482758623</v>
      </c>
      <c r="M70" s="601">
        <f t="shared" si="1"/>
        <v>6176.6771578947355</v>
      </c>
      <c r="N70" s="602">
        <f t="shared" si="1"/>
        <v>18.68112903225806</v>
      </c>
      <c r="O70" s="15"/>
      <c r="P70" s="38"/>
      <c r="X70" s="38"/>
      <c r="AP70" s="594"/>
      <c r="AV70" s="595"/>
      <c r="BQ70" t="s">
        <v>139</v>
      </c>
    </row>
    <row r="71" spans="1:69" s="327" customFormat="1" ht="15.6" customHeight="1" x14ac:dyDescent="0.2">
      <c r="A71" s="327" t="s">
        <v>255</v>
      </c>
      <c r="B71" s="278" t="s">
        <v>857</v>
      </c>
    </row>
    <row r="72" spans="1:69" s="327" customFormat="1" ht="13.95" customHeight="1" x14ac:dyDescent="0.2">
      <c r="B72" s="1582" t="s">
        <v>858</v>
      </c>
      <c r="C72" s="1449"/>
      <c r="D72" s="1449"/>
      <c r="E72" s="1449"/>
      <c r="F72" s="1449"/>
      <c r="G72" s="1449"/>
      <c r="H72" s="1449"/>
      <c r="I72" s="1449"/>
      <c r="J72" s="1449"/>
      <c r="K72" s="1449"/>
      <c r="L72" s="1449"/>
      <c r="M72" s="1449"/>
      <c r="N72" s="1449"/>
    </row>
    <row r="73" spans="1:69" s="327" customFormat="1" ht="13.95" customHeight="1" x14ac:dyDescent="0.2">
      <c r="B73" s="284" t="s">
        <v>859</v>
      </c>
      <c r="C73" s="284"/>
      <c r="D73" s="284"/>
      <c r="E73" s="284"/>
      <c r="F73" s="284"/>
      <c r="G73" s="284"/>
      <c r="H73" s="284"/>
      <c r="I73" s="284"/>
      <c r="J73" s="284"/>
      <c r="K73" s="284"/>
      <c r="L73" s="284"/>
      <c r="M73" s="284"/>
      <c r="N73" s="284"/>
    </row>
    <row r="74" spans="1:69" s="327" customFormat="1" ht="13.95" customHeight="1" x14ac:dyDescent="0.2">
      <c r="B74" s="284" t="s">
        <v>387</v>
      </c>
      <c r="C74" s="284"/>
      <c r="D74" s="284"/>
      <c r="E74" s="284"/>
      <c r="F74" s="284"/>
      <c r="G74" s="284"/>
      <c r="H74" s="284"/>
      <c r="I74" s="284"/>
      <c r="J74" s="284"/>
      <c r="K74" s="284"/>
      <c r="L74" s="284"/>
      <c r="M74" s="284"/>
      <c r="N74" s="284"/>
    </row>
    <row r="75" spans="1:69" s="327" customFormat="1" ht="13.95" customHeight="1" x14ac:dyDescent="0.2">
      <c r="B75" s="284" t="s">
        <v>388</v>
      </c>
      <c r="C75" s="284"/>
      <c r="D75" s="284"/>
      <c r="E75" s="284"/>
      <c r="F75" s="284"/>
      <c r="G75" s="284"/>
      <c r="H75" s="284"/>
      <c r="I75" s="284"/>
      <c r="J75" s="284"/>
      <c r="K75" s="284"/>
      <c r="L75" s="284"/>
      <c r="M75" s="284"/>
      <c r="N75" s="284"/>
    </row>
    <row r="76" spans="1:69" s="327" customFormat="1" ht="13.95" customHeight="1" x14ac:dyDescent="0.2"/>
    <row r="77" spans="1:69" s="327" customFormat="1" ht="13.95" customHeight="1" x14ac:dyDescent="0.2"/>
    <row r="78" spans="1:69" ht="16.5" customHeight="1" x14ac:dyDescent="0.2">
      <c r="A78" s="603"/>
      <c r="B78" s="286"/>
      <c r="C78" s="284"/>
      <c r="D78" s="284"/>
    </row>
    <row r="79" spans="1:69" ht="15.6" customHeight="1" x14ac:dyDescent="0.2">
      <c r="A79" s="604"/>
      <c r="B79" s="286"/>
      <c r="C79" s="1583"/>
      <c r="D79" s="1583"/>
      <c r="E79" s="1584"/>
      <c r="F79" s="1584"/>
      <c r="G79" s="1584"/>
      <c r="H79" s="1584"/>
      <c r="I79" s="1584"/>
      <c r="J79" s="1584"/>
      <c r="K79" s="1584"/>
      <c r="L79" s="1584"/>
      <c r="M79" s="1585"/>
      <c r="N79" s="1585"/>
    </row>
    <row r="80" spans="1:69" x14ac:dyDescent="0.2">
      <c r="B80" s="327"/>
      <c r="C80" s="1585"/>
      <c r="D80" s="1585"/>
      <c r="E80" s="1585"/>
      <c r="F80" s="1585"/>
      <c r="G80" s="1585"/>
      <c r="H80" s="1585"/>
      <c r="I80" s="1585"/>
      <c r="J80" s="1585"/>
      <c r="K80" s="1585"/>
      <c r="L80" s="1585"/>
      <c r="M80" s="1585"/>
      <c r="N80" s="1585"/>
    </row>
    <row r="150" spans="1:14" ht="27" customHeight="1" x14ac:dyDescent="0.2">
      <c r="A150" s="1575"/>
      <c r="B150" s="1575"/>
      <c r="C150" s="1575"/>
      <c r="D150" s="1575"/>
      <c r="E150" s="1575"/>
      <c r="F150" s="1575"/>
      <c r="G150" s="1575"/>
      <c r="H150" s="1575"/>
      <c r="I150" s="1575"/>
      <c r="J150" s="1575"/>
      <c r="K150" s="1575"/>
      <c r="L150" s="1575"/>
      <c r="M150" s="1575"/>
      <c r="N150" s="1575"/>
    </row>
  </sheetData>
  <mergeCells count="11">
    <mergeCell ref="B72:N72"/>
    <mergeCell ref="C79:N80"/>
    <mergeCell ref="A150:N150"/>
    <mergeCell ref="B3:B5"/>
    <mergeCell ref="C3:C5"/>
    <mergeCell ref="D3:D5"/>
    <mergeCell ref="E3:J3"/>
    <mergeCell ref="K3:M3"/>
    <mergeCell ref="N3:N5"/>
    <mergeCell ref="E4:E5"/>
    <mergeCell ref="M4:M5"/>
  </mergeCells>
  <phoneticPr fontId="2"/>
  <dataValidations count="1">
    <dataValidation imeMode="disabled" allowBlank="1" showInputMessage="1" showErrorMessage="1" sqref="B7:N68" xr:uid="{82A841BA-4816-4579-839A-A29087D8A66E}"/>
  </dataValidations>
  <pageMargins left="0.74803149606299213" right="0.23622047244094491" top="0.98425196850393704" bottom="0.39370078740157483" header="0.59055118110236227" footer="0.31496062992125984"/>
  <pageSetup paperSize="9" scale="70" firstPageNumber="12" orientation="portrait" r:id="rId1"/>
  <headerFooter alignWithMargins="0">
    <oddHeader xml:space="preserve">&amp;L&amp;"ＭＳ Ｐゴシック,太字"&amp;16 ４　環　境&amp;"ＭＳ Ｐゴシック,標準"&amp;11
</oddHeader>
  </headerFooter>
  <rowBreaks count="1" manualBreakCount="1">
    <brk id="76"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09BA-C2B5-4987-ADD7-B39FAE15F1E9}">
  <dimension ref="A1:Y136"/>
  <sheetViews>
    <sheetView showGridLines="0" view="pageBreakPreview" zoomScale="70" zoomScaleNormal="100" zoomScaleSheetLayoutView="70" workbookViewId="0">
      <pane xSplit="1" ySplit="6" topLeftCell="B66" activePane="bottomRight" state="frozen"/>
      <selection activeCell="E12" sqref="E12"/>
      <selection pane="topRight" activeCell="E12" sqref="E12"/>
      <selection pane="bottomLeft" activeCell="E12" sqref="E12"/>
      <selection pane="bottomRight" activeCell="L74" sqref="L74:L75"/>
    </sheetView>
  </sheetViews>
  <sheetFormatPr defaultColWidth="8.88671875" defaultRowHeight="13.2" x14ac:dyDescent="0.2"/>
  <cols>
    <col min="1" max="1" width="12.44140625" customWidth="1"/>
    <col min="2" max="2" width="8.77734375" customWidth="1"/>
    <col min="3" max="4" width="10" customWidth="1"/>
    <col min="5" max="5" width="11.6640625" customWidth="1"/>
    <col min="6" max="6" width="10.6640625" customWidth="1"/>
    <col min="7" max="7" width="7.44140625" customWidth="1"/>
    <col min="8" max="8" width="11.6640625" customWidth="1"/>
    <col min="9" max="9" width="7.44140625" customWidth="1"/>
    <col min="10" max="10" width="12.77734375" customWidth="1"/>
    <col min="11" max="11" width="7.44140625" customWidth="1"/>
    <col min="12" max="13" width="13.77734375" customWidth="1"/>
    <col min="14" max="14" width="11.21875" customWidth="1"/>
    <col min="15" max="15" width="10" customWidth="1"/>
    <col min="16" max="16" width="13.77734375" customWidth="1"/>
    <col min="17" max="17" width="12.44140625" customWidth="1"/>
    <col min="18" max="18" width="11.21875" customWidth="1"/>
    <col min="19" max="19" width="9.33203125" customWidth="1"/>
    <col min="20" max="20" width="14.21875" customWidth="1"/>
    <col min="21" max="21" width="11.21875" customWidth="1"/>
    <col min="22" max="22" width="1.44140625" customWidth="1"/>
    <col min="23" max="23" width="14.5546875" customWidth="1"/>
    <col min="24" max="24" width="11.109375" customWidth="1"/>
  </cols>
  <sheetData>
    <row r="1" spans="1:25" ht="18.75" customHeight="1" x14ac:dyDescent="0.2">
      <c r="A1" s="605" t="s">
        <v>389</v>
      </c>
      <c r="C1" s="606"/>
      <c r="D1" s="606"/>
      <c r="E1" s="606"/>
      <c r="F1" s="606"/>
      <c r="G1" s="606"/>
      <c r="H1" s="606"/>
      <c r="I1" s="606"/>
      <c r="J1" s="606"/>
      <c r="K1" s="606"/>
      <c r="L1" s="607"/>
      <c r="M1" s="1612"/>
      <c r="N1" s="1612"/>
      <c r="O1" s="1612"/>
      <c r="P1" s="1612"/>
      <c r="Q1" s="1612"/>
      <c r="R1" s="607"/>
      <c r="S1" s="605"/>
      <c r="T1" s="605"/>
      <c r="U1" s="605"/>
      <c r="W1" s="606"/>
      <c r="X1" s="606"/>
    </row>
    <row r="2" spans="1:25" ht="18.75" customHeight="1" x14ac:dyDescent="0.2">
      <c r="A2" s="607"/>
      <c r="B2" s="608"/>
      <c r="C2" s="608"/>
      <c r="D2" s="608"/>
      <c r="E2" s="608"/>
      <c r="F2" s="608"/>
      <c r="G2" s="608"/>
      <c r="H2" s="608"/>
      <c r="I2" s="608"/>
      <c r="J2" s="608"/>
      <c r="K2" s="608"/>
      <c r="L2" s="1349"/>
      <c r="M2" s="1612"/>
      <c r="N2" s="1613"/>
      <c r="O2" s="1613"/>
      <c r="P2" s="1613"/>
      <c r="Q2" s="1613"/>
      <c r="R2" s="609"/>
      <c r="S2" s="610"/>
      <c r="T2" s="610"/>
      <c r="U2" s="610"/>
      <c r="W2" s="606"/>
      <c r="X2" s="606"/>
    </row>
    <row r="3" spans="1:25" s="3" customFormat="1" ht="17.25" customHeight="1" x14ac:dyDescent="0.2">
      <c r="A3" s="611" t="s">
        <v>390</v>
      </c>
      <c r="B3" s="1592" t="s">
        <v>43</v>
      </c>
      <c r="C3" s="1593"/>
      <c r="D3" s="1594"/>
      <c r="E3" s="612" t="s">
        <v>391</v>
      </c>
      <c r="F3" s="613"/>
      <c r="G3" s="613"/>
      <c r="H3" s="613"/>
      <c r="I3" s="613"/>
      <c r="J3" s="614"/>
      <c r="K3" s="614"/>
      <c r="L3" s="1595" t="s">
        <v>392</v>
      </c>
      <c r="M3" s="1595"/>
      <c r="N3" s="1596" t="s">
        <v>393</v>
      </c>
      <c r="O3" s="1597"/>
      <c r="P3" s="1597"/>
      <c r="Q3" s="1598"/>
      <c r="R3" s="1599" t="s">
        <v>394</v>
      </c>
      <c r="S3" s="1600"/>
      <c r="T3" s="1600"/>
      <c r="U3" s="1601"/>
      <c r="W3" s="1610" t="s">
        <v>395</v>
      </c>
      <c r="X3" s="1611"/>
    </row>
    <row r="4" spans="1:25" s="3" customFormat="1" ht="17.25" customHeight="1" x14ac:dyDescent="0.2">
      <c r="A4" s="615"/>
      <c r="B4" s="1625" t="s">
        <v>396</v>
      </c>
      <c r="C4" s="1626"/>
      <c r="D4" s="1627"/>
      <c r="E4" s="616"/>
      <c r="F4" s="1608" t="s">
        <v>397</v>
      </c>
      <c r="G4" s="1609"/>
      <c r="H4" s="1608" t="s">
        <v>398</v>
      </c>
      <c r="I4" s="1609"/>
      <c r="J4" s="1602" t="s">
        <v>399</v>
      </c>
      <c r="K4" s="1603"/>
      <c r="L4" s="1604" t="s">
        <v>400</v>
      </c>
      <c r="M4" s="1606" t="s">
        <v>401</v>
      </c>
      <c r="N4" s="1614" t="s">
        <v>402</v>
      </c>
      <c r="O4" s="1615"/>
      <c r="P4" s="1616" t="s">
        <v>403</v>
      </c>
      <c r="Q4" s="1617"/>
      <c r="R4" s="1614" t="s">
        <v>402</v>
      </c>
      <c r="S4" s="1618"/>
      <c r="T4" s="1616" t="s">
        <v>404</v>
      </c>
      <c r="U4" s="1617"/>
      <c r="W4" s="1604" t="s">
        <v>405</v>
      </c>
      <c r="X4" s="1623" t="s">
        <v>406</v>
      </c>
    </row>
    <row r="5" spans="1:25" s="3" customFormat="1" ht="17.25" customHeight="1" x14ac:dyDescent="0.2">
      <c r="A5" s="617"/>
      <c r="B5" s="618" t="s">
        <v>407</v>
      </c>
      <c r="C5" s="619" t="s">
        <v>408</v>
      </c>
      <c r="D5" s="620" t="s">
        <v>409</v>
      </c>
      <c r="E5" s="621"/>
      <c r="F5" s="622"/>
      <c r="G5" s="619" t="s">
        <v>410</v>
      </c>
      <c r="H5" s="623"/>
      <c r="I5" s="619" t="s">
        <v>410</v>
      </c>
      <c r="J5" s="624"/>
      <c r="K5" s="625" t="s">
        <v>410</v>
      </c>
      <c r="L5" s="1605"/>
      <c r="M5" s="1607"/>
      <c r="N5" s="1412"/>
      <c r="O5" s="626" t="s">
        <v>411</v>
      </c>
      <c r="P5" s="627"/>
      <c r="Q5" s="628" t="s">
        <v>412</v>
      </c>
      <c r="R5" s="629"/>
      <c r="S5" s="626" t="s">
        <v>411</v>
      </c>
      <c r="T5" s="630"/>
      <c r="U5" s="626" t="s">
        <v>413</v>
      </c>
      <c r="V5" s="631"/>
      <c r="W5" s="1622"/>
      <c r="X5" s="1624"/>
    </row>
    <row r="6" spans="1:25" ht="17.25" customHeight="1" x14ac:dyDescent="0.2">
      <c r="A6" s="632" t="s">
        <v>414</v>
      </c>
      <c r="B6" s="633" t="s">
        <v>415</v>
      </c>
      <c r="C6" s="634" t="s">
        <v>415</v>
      </c>
      <c r="D6" s="634" t="s">
        <v>415</v>
      </c>
      <c r="E6" s="634" t="s">
        <v>129</v>
      </c>
      <c r="F6" s="634" t="s">
        <v>129</v>
      </c>
      <c r="G6" s="634" t="s">
        <v>133</v>
      </c>
      <c r="H6" s="634" t="s">
        <v>129</v>
      </c>
      <c r="I6" s="634" t="s">
        <v>133</v>
      </c>
      <c r="J6" s="635" t="s">
        <v>129</v>
      </c>
      <c r="K6" s="635" t="s">
        <v>133</v>
      </c>
      <c r="L6" s="633" t="s">
        <v>416</v>
      </c>
      <c r="M6" s="1405" t="s">
        <v>417</v>
      </c>
      <c r="N6" s="633" t="s">
        <v>418</v>
      </c>
      <c r="O6" s="635" t="s">
        <v>133</v>
      </c>
      <c r="P6" s="634" t="s">
        <v>419</v>
      </c>
      <c r="Q6" s="636" t="s">
        <v>419</v>
      </c>
      <c r="R6" s="633" t="s">
        <v>415</v>
      </c>
      <c r="S6" s="634" t="s">
        <v>133</v>
      </c>
      <c r="T6" s="634" t="s">
        <v>419</v>
      </c>
      <c r="U6" s="637" t="s">
        <v>420</v>
      </c>
      <c r="V6" s="576"/>
      <c r="W6" s="633" t="s">
        <v>335</v>
      </c>
      <c r="X6" s="636" t="s">
        <v>421</v>
      </c>
    </row>
    <row r="7" spans="1:25" s="38" customFormat="1" ht="17.25" customHeight="1" x14ac:dyDescent="0.2">
      <c r="A7" s="102" t="s">
        <v>142</v>
      </c>
      <c r="B7" s="638">
        <v>40</v>
      </c>
      <c r="C7" s="639">
        <v>1716</v>
      </c>
      <c r="D7" s="639">
        <v>11162</v>
      </c>
      <c r="E7" s="639">
        <v>112081</v>
      </c>
      <c r="F7" s="639">
        <v>401</v>
      </c>
      <c r="G7" s="640">
        <v>0.4</v>
      </c>
      <c r="H7" s="639">
        <v>17850</v>
      </c>
      <c r="I7" s="640">
        <v>15.9</v>
      </c>
      <c r="J7" s="639">
        <v>93830</v>
      </c>
      <c r="K7" s="641">
        <v>83.7</v>
      </c>
      <c r="L7" s="638">
        <v>1098</v>
      </c>
      <c r="M7" s="1381">
        <v>156</v>
      </c>
      <c r="N7" s="638">
        <v>313</v>
      </c>
      <c r="O7" s="642">
        <v>10.6</v>
      </c>
      <c r="P7" s="643">
        <v>201459</v>
      </c>
      <c r="Q7" s="644">
        <v>644</v>
      </c>
      <c r="R7" s="645">
        <v>2875</v>
      </c>
      <c r="S7" s="646">
        <v>7</v>
      </c>
      <c r="T7" s="647">
        <v>780214</v>
      </c>
      <c r="U7" s="1080">
        <v>27138</v>
      </c>
      <c r="V7" s="289"/>
      <c r="W7" s="638">
        <v>5368900</v>
      </c>
      <c r="X7" s="644">
        <v>9646</v>
      </c>
    </row>
    <row r="8" spans="1:25" s="38" customFormat="1" ht="15.75" customHeight="1" x14ac:dyDescent="0.2">
      <c r="A8" s="121" t="s">
        <v>144</v>
      </c>
      <c r="B8" s="648">
        <v>73</v>
      </c>
      <c r="C8" s="649">
        <v>2125</v>
      </c>
      <c r="D8" s="649">
        <v>12295</v>
      </c>
      <c r="E8" s="649">
        <v>139204</v>
      </c>
      <c r="F8" s="649">
        <v>735</v>
      </c>
      <c r="G8" s="650">
        <v>0.5</v>
      </c>
      <c r="H8" s="649">
        <v>22102</v>
      </c>
      <c r="I8" s="650">
        <v>15.9</v>
      </c>
      <c r="J8" s="651">
        <v>116367</v>
      </c>
      <c r="K8" s="652">
        <v>83.6</v>
      </c>
      <c r="L8" s="1382">
        <v>11596</v>
      </c>
      <c r="M8" s="1383">
        <v>902</v>
      </c>
      <c r="N8" s="648">
        <v>389</v>
      </c>
      <c r="O8" s="653">
        <v>15.1</v>
      </c>
      <c r="P8" s="651">
        <v>215640</v>
      </c>
      <c r="Q8" s="654">
        <v>554</v>
      </c>
      <c r="R8" s="655">
        <v>3101</v>
      </c>
      <c r="S8" s="656">
        <v>8.6999999999999993</v>
      </c>
      <c r="T8" s="657">
        <v>1063246</v>
      </c>
      <c r="U8" s="1081">
        <v>34287</v>
      </c>
      <c r="W8" s="648">
        <v>5079300</v>
      </c>
      <c r="X8" s="654">
        <v>5374</v>
      </c>
      <c r="Y8" s="659"/>
    </row>
    <row r="9" spans="1:25" s="38" customFormat="1" ht="15.75" customHeight="1" x14ac:dyDescent="0.2">
      <c r="A9" s="102" t="s">
        <v>145</v>
      </c>
      <c r="B9" s="660">
        <v>32</v>
      </c>
      <c r="C9" s="661">
        <v>1575</v>
      </c>
      <c r="D9" s="661">
        <v>11342</v>
      </c>
      <c r="E9" s="661">
        <v>118455</v>
      </c>
      <c r="F9" s="661">
        <v>285</v>
      </c>
      <c r="G9" s="662">
        <v>0.2</v>
      </c>
      <c r="H9" s="661">
        <v>16547</v>
      </c>
      <c r="I9" s="662">
        <v>13.96</v>
      </c>
      <c r="J9" s="663">
        <v>101623</v>
      </c>
      <c r="K9" s="664">
        <v>85.79</v>
      </c>
      <c r="L9" s="1250">
        <v>4580</v>
      </c>
      <c r="M9" s="1384">
        <v>1470</v>
      </c>
      <c r="N9" s="660">
        <v>213</v>
      </c>
      <c r="O9" s="642">
        <v>16.399999999999999</v>
      </c>
      <c r="P9" s="663">
        <v>109435</v>
      </c>
      <c r="Q9" s="665">
        <v>514</v>
      </c>
      <c r="R9" s="666">
        <v>2988</v>
      </c>
      <c r="S9" s="667">
        <v>7.1</v>
      </c>
      <c r="T9" s="668">
        <v>1100686</v>
      </c>
      <c r="U9" s="1082">
        <v>36837</v>
      </c>
      <c r="W9" s="669">
        <v>6019985</v>
      </c>
      <c r="X9" s="665">
        <v>4925</v>
      </c>
      <c r="Y9" s="659"/>
    </row>
    <row r="10" spans="1:25" s="38" customFormat="1" ht="15.75" customHeight="1" x14ac:dyDescent="0.2">
      <c r="A10" s="121" t="s">
        <v>147</v>
      </c>
      <c r="B10" s="648">
        <v>66</v>
      </c>
      <c r="C10" s="649">
        <v>1558</v>
      </c>
      <c r="D10" s="649">
        <v>9601</v>
      </c>
      <c r="E10" s="649">
        <v>104728</v>
      </c>
      <c r="F10" s="649">
        <v>1237</v>
      </c>
      <c r="G10" s="650">
        <v>1.2</v>
      </c>
      <c r="H10" s="649">
        <v>23268</v>
      </c>
      <c r="I10" s="650">
        <v>22.2</v>
      </c>
      <c r="J10" s="651">
        <v>80223</v>
      </c>
      <c r="K10" s="652">
        <v>76.599999999999994</v>
      </c>
      <c r="L10" s="1385">
        <v>1973</v>
      </c>
      <c r="M10" s="1354">
        <v>1173</v>
      </c>
      <c r="N10" s="648">
        <v>353</v>
      </c>
      <c r="O10" s="653">
        <v>2.9</v>
      </c>
      <c r="P10" s="651">
        <v>512701</v>
      </c>
      <c r="Q10" s="654">
        <v>1452</v>
      </c>
      <c r="R10" s="655">
        <v>2587</v>
      </c>
      <c r="S10" s="656">
        <v>5.3</v>
      </c>
      <c r="T10" s="657">
        <v>750967</v>
      </c>
      <c r="U10" s="1083">
        <v>29028</v>
      </c>
      <c r="W10" s="648">
        <v>6631881</v>
      </c>
      <c r="X10" s="654">
        <v>3830</v>
      </c>
      <c r="Y10" s="659"/>
    </row>
    <row r="11" spans="1:25" s="38" customFormat="1" ht="15.75" customHeight="1" x14ac:dyDescent="0.2">
      <c r="A11" s="102" t="s">
        <v>148</v>
      </c>
      <c r="B11" s="145">
        <v>62</v>
      </c>
      <c r="C11" s="397">
        <v>1609</v>
      </c>
      <c r="D11" s="401">
        <v>13361</v>
      </c>
      <c r="E11" s="661">
        <v>146110</v>
      </c>
      <c r="F11" s="661">
        <v>854</v>
      </c>
      <c r="G11" s="662">
        <v>0.57999999999999996</v>
      </c>
      <c r="H11" s="661">
        <v>17923</v>
      </c>
      <c r="I11" s="662">
        <v>12.27</v>
      </c>
      <c r="J11" s="663">
        <v>127333</v>
      </c>
      <c r="K11" s="664">
        <v>87.15</v>
      </c>
      <c r="L11" s="666">
        <v>6854</v>
      </c>
      <c r="M11" s="1386">
        <v>2249</v>
      </c>
      <c r="N11" s="660">
        <v>204</v>
      </c>
      <c r="O11" s="642">
        <v>17.899999999999999</v>
      </c>
      <c r="P11" s="663">
        <v>150186</v>
      </c>
      <c r="Q11" s="665">
        <v>736</v>
      </c>
      <c r="R11" s="666">
        <v>3269</v>
      </c>
      <c r="S11" s="667">
        <v>108.1</v>
      </c>
      <c r="T11" s="668">
        <v>1266407</v>
      </c>
      <c r="U11" s="1082">
        <v>38740</v>
      </c>
      <c r="V11" s="228"/>
      <c r="W11" s="103">
        <v>5191316</v>
      </c>
      <c r="X11" s="412">
        <v>5796</v>
      </c>
      <c r="Y11" s="671"/>
    </row>
    <row r="12" spans="1:25" s="38" customFormat="1" ht="15.75" customHeight="1" x14ac:dyDescent="0.2">
      <c r="A12" s="121" t="s">
        <v>149</v>
      </c>
      <c r="B12" s="166">
        <v>65</v>
      </c>
      <c r="C12" s="444">
        <v>1965</v>
      </c>
      <c r="D12" s="445">
        <v>12953</v>
      </c>
      <c r="E12" s="672">
        <v>146415</v>
      </c>
      <c r="F12" s="672">
        <v>620</v>
      </c>
      <c r="G12" s="673">
        <v>0.4</v>
      </c>
      <c r="H12" s="672">
        <v>22702</v>
      </c>
      <c r="I12" s="673">
        <v>15.5</v>
      </c>
      <c r="J12" s="674">
        <v>123093</v>
      </c>
      <c r="K12" s="675">
        <v>84.1</v>
      </c>
      <c r="L12" s="655">
        <v>6378</v>
      </c>
      <c r="M12" s="1354">
        <v>1998</v>
      </c>
      <c r="N12" s="1413">
        <v>266</v>
      </c>
      <c r="O12" s="676">
        <v>-9.1999999999999993</v>
      </c>
      <c r="P12" s="674">
        <v>307518</v>
      </c>
      <c r="Q12" s="677">
        <v>1156</v>
      </c>
      <c r="R12" s="655">
        <v>3348</v>
      </c>
      <c r="S12" s="656">
        <v>6.8</v>
      </c>
      <c r="T12" s="657">
        <v>1147819</v>
      </c>
      <c r="U12" s="1083">
        <f>(T12*100)/R12</f>
        <v>34283.721624850659</v>
      </c>
      <c r="V12" s="415"/>
      <c r="W12" s="186">
        <v>7456537</v>
      </c>
      <c r="X12" s="159">
        <v>4715</v>
      </c>
      <c r="Y12" s="671"/>
    </row>
    <row r="13" spans="1:25" s="38" customFormat="1" ht="15.75" customHeight="1" x14ac:dyDescent="0.2">
      <c r="A13" s="169" t="s">
        <v>150</v>
      </c>
      <c r="B13" s="145">
        <v>38</v>
      </c>
      <c r="C13" s="397">
        <v>1982</v>
      </c>
      <c r="D13" s="401">
        <v>11101</v>
      </c>
      <c r="E13" s="661">
        <f>SUM(F13,H13,J13)</f>
        <v>123247</v>
      </c>
      <c r="F13" s="661">
        <v>417</v>
      </c>
      <c r="G13" s="662">
        <v>0.33834494957280908</v>
      </c>
      <c r="H13" s="661">
        <v>21030</v>
      </c>
      <c r="I13" s="662">
        <v>17.063295658312171</v>
      </c>
      <c r="J13" s="663">
        <v>101800</v>
      </c>
      <c r="K13" s="664">
        <v>82.598359392115015</v>
      </c>
      <c r="L13" s="1387">
        <v>4121</v>
      </c>
      <c r="M13" s="1388">
        <v>1805</v>
      </c>
      <c r="N13" s="660">
        <v>405</v>
      </c>
      <c r="O13" s="642">
        <v>3.5805626598465472</v>
      </c>
      <c r="P13" s="663">
        <v>218791</v>
      </c>
      <c r="Q13" s="665">
        <v>540.22469135802464</v>
      </c>
      <c r="R13" s="666">
        <v>2866</v>
      </c>
      <c r="S13" s="667">
        <v>2.4</v>
      </c>
      <c r="T13" s="668">
        <v>1032657</v>
      </c>
      <c r="U13" s="1082">
        <v>36031</v>
      </c>
      <c r="V13" s="415"/>
      <c r="W13" s="103">
        <v>2832900</v>
      </c>
      <c r="X13" s="412">
        <v>5008</v>
      </c>
      <c r="Y13" s="671"/>
    </row>
    <row r="14" spans="1:25" s="38" customFormat="1" ht="15.75" customHeight="1" x14ac:dyDescent="0.2">
      <c r="A14" s="121" t="s">
        <v>151</v>
      </c>
      <c r="B14" s="648">
        <v>37</v>
      </c>
      <c r="C14" s="649">
        <v>1862</v>
      </c>
      <c r="D14" s="649">
        <v>10873</v>
      </c>
      <c r="E14" s="649">
        <v>130297</v>
      </c>
      <c r="F14" s="649">
        <v>403</v>
      </c>
      <c r="G14" s="650">
        <v>0.3</v>
      </c>
      <c r="H14" s="649">
        <v>28104</v>
      </c>
      <c r="I14" s="650">
        <v>21.6</v>
      </c>
      <c r="J14" s="651">
        <v>101790</v>
      </c>
      <c r="K14" s="652">
        <v>78.099999999999994</v>
      </c>
      <c r="L14" s="1385">
        <v>4737</v>
      </c>
      <c r="M14" s="1354">
        <v>3236</v>
      </c>
      <c r="N14" s="648">
        <v>384</v>
      </c>
      <c r="O14" s="653">
        <v>-1.8</v>
      </c>
      <c r="P14" s="651">
        <v>636525</v>
      </c>
      <c r="Q14" s="654">
        <v>1658</v>
      </c>
      <c r="R14" s="655">
        <v>3285</v>
      </c>
      <c r="S14" s="656">
        <v>-2.7</v>
      </c>
      <c r="T14" s="657">
        <v>861006</v>
      </c>
      <c r="U14" s="1081">
        <v>26210</v>
      </c>
      <c r="W14" s="648">
        <v>6022318</v>
      </c>
      <c r="X14" s="654">
        <v>5600</v>
      </c>
      <c r="Y14" s="659"/>
    </row>
    <row r="15" spans="1:25" s="38" customFormat="1" ht="15.75" customHeight="1" x14ac:dyDescent="0.2">
      <c r="A15" s="169" t="s">
        <v>153</v>
      </c>
      <c r="B15" s="145">
        <v>54</v>
      </c>
      <c r="C15" s="397">
        <v>2670</v>
      </c>
      <c r="D15" s="401">
        <v>13112</v>
      </c>
      <c r="E15" s="661">
        <v>165207</v>
      </c>
      <c r="F15" s="661">
        <v>599</v>
      </c>
      <c r="G15" s="667">
        <v>0.4</v>
      </c>
      <c r="H15" s="661">
        <v>35205</v>
      </c>
      <c r="I15" s="667">
        <v>21.3</v>
      </c>
      <c r="J15" s="678">
        <v>129403</v>
      </c>
      <c r="K15" s="679">
        <v>78.3</v>
      </c>
      <c r="L15" s="660">
        <v>9097</v>
      </c>
      <c r="M15" s="1389">
        <v>3663</v>
      </c>
      <c r="N15" s="660">
        <v>457</v>
      </c>
      <c r="O15" s="642">
        <v>7.5</v>
      </c>
      <c r="P15" s="663">
        <v>681009</v>
      </c>
      <c r="Q15" s="665">
        <v>1490</v>
      </c>
      <c r="R15" s="666">
        <v>3364</v>
      </c>
      <c r="S15" s="667">
        <v>10.1</v>
      </c>
      <c r="T15" s="668">
        <v>1402963</v>
      </c>
      <c r="U15" s="1082">
        <v>41705</v>
      </c>
      <c r="V15" s="228"/>
      <c r="W15" s="103">
        <v>5117071</v>
      </c>
      <c r="X15" s="412">
        <v>5877</v>
      </c>
      <c r="Y15" s="671"/>
    </row>
    <row r="16" spans="1:25" s="38" customFormat="1" ht="15.75" customHeight="1" x14ac:dyDescent="0.2">
      <c r="A16" s="121" t="s">
        <v>154</v>
      </c>
      <c r="B16" s="193">
        <v>84</v>
      </c>
      <c r="C16" s="438">
        <v>2790</v>
      </c>
      <c r="D16" s="467">
        <v>11406</v>
      </c>
      <c r="E16" s="657">
        <v>139554</v>
      </c>
      <c r="F16" s="657">
        <v>1416</v>
      </c>
      <c r="G16" s="656">
        <v>1</v>
      </c>
      <c r="H16" s="657">
        <v>41676</v>
      </c>
      <c r="I16" s="656">
        <v>29.86</v>
      </c>
      <c r="J16" s="680">
        <v>96462</v>
      </c>
      <c r="K16" s="681">
        <v>69.099999999999994</v>
      </c>
      <c r="L16" s="655">
        <v>4569</v>
      </c>
      <c r="M16" s="1354">
        <v>3211</v>
      </c>
      <c r="N16" s="655">
        <v>653</v>
      </c>
      <c r="O16" s="682">
        <v>1.1000000000000001</v>
      </c>
      <c r="P16" s="1342">
        <v>955052</v>
      </c>
      <c r="Q16" s="1343">
        <v>1462</v>
      </c>
      <c r="R16" s="1344">
        <v>3062</v>
      </c>
      <c r="S16" s="1345">
        <v>12.4</v>
      </c>
      <c r="T16" s="1346">
        <v>869814</v>
      </c>
      <c r="U16" s="1347">
        <v>28407</v>
      </c>
      <c r="V16" s="415"/>
      <c r="W16" s="186">
        <v>7555942</v>
      </c>
      <c r="X16" s="159">
        <v>6736</v>
      </c>
      <c r="Y16" s="671"/>
    </row>
    <row r="17" spans="1:25" s="38" customFormat="1" ht="15.75" customHeight="1" x14ac:dyDescent="0.2">
      <c r="A17" s="169" t="s">
        <v>155</v>
      </c>
      <c r="B17" s="145">
        <v>24</v>
      </c>
      <c r="C17" s="397">
        <v>1745</v>
      </c>
      <c r="D17" s="401">
        <v>11367</v>
      </c>
      <c r="E17" s="661">
        <v>145374</v>
      </c>
      <c r="F17" s="661">
        <v>294</v>
      </c>
      <c r="G17" s="662">
        <v>0.20200000000000001</v>
      </c>
      <c r="H17" s="661">
        <v>18081</v>
      </c>
      <c r="I17" s="662">
        <v>12.436999999999999</v>
      </c>
      <c r="J17" s="663">
        <v>126999</v>
      </c>
      <c r="K17" s="664">
        <v>87.36</v>
      </c>
      <c r="L17" s="666">
        <v>3719</v>
      </c>
      <c r="M17" s="1386">
        <v>2129</v>
      </c>
      <c r="N17" s="660">
        <v>231</v>
      </c>
      <c r="O17" s="642">
        <v>1.7621100000000001</v>
      </c>
      <c r="P17" s="663">
        <v>139028</v>
      </c>
      <c r="Q17" s="665">
        <v>601.79999999999995</v>
      </c>
      <c r="R17" s="666">
        <v>2848</v>
      </c>
      <c r="S17" s="667">
        <v>7.39</v>
      </c>
      <c r="T17" s="668">
        <v>1537585</v>
      </c>
      <c r="U17" s="1082">
        <v>53988</v>
      </c>
      <c r="V17" s="415"/>
      <c r="W17" s="103">
        <v>3741700</v>
      </c>
      <c r="X17" s="412">
        <v>4217</v>
      </c>
      <c r="Y17" s="671"/>
    </row>
    <row r="18" spans="1:25" s="38" customFormat="1" ht="15.75" customHeight="1" x14ac:dyDescent="0.2">
      <c r="A18" s="121" t="s">
        <v>157</v>
      </c>
      <c r="B18" s="193">
        <v>79</v>
      </c>
      <c r="C18" s="438">
        <v>3258</v>
      </c>
      <c r="D18" s="467">
        <v>18569</v>
      </c>
      <c r="E18" s="657">
        <v>241408</v>
      </c>
      <c r="F18" s="657">
        <v>799</v>
      </c>
      <c r="G18" s="656">
        <v>0.33097494697773061</v>
      </c>
      <c r="H18" s="657">
        <v>48949</v>
      </c>
      <c r="I18" s="656">
        <v>20.276461426299043</v>
      </c>
      <c r="J18" s="680">
        <v>191660</v>
      </c>
      <c r="K18" s="681">
        <v>79.392563626723216</v>
      </c>
      <c r="L18" s="655">
        <v>9472</v>
      </c>
      <c r="M18" s="1354">
        <v>3332</v>
      </c>
      <c r="N18" s="655">
        <v>581</v>
      </c>
      <c r="O18" s="682">
        <v>9.8000000000000007</v>
      </c>
      <c r="P18" s="680">
        <v>2097337</v>
      </c>
      <c r="Q18" s="658">
        <v>3609.8743545611014</v>
      </c>
      <c r="R18" s="655">
        <v>4794</v>
      </c>
      <c r="S18" s="656">
        <v>7.8272604588394064</v>
      </c>
      <c r="T18" s="657">
        <v>2614427</v>
      </c>
      <c r="U18" s="1081">
        <v>54535.398414684998</v>
      </c>
      <c r="V18" s="415"/>
      <c r="W18" s="186">
        <v>14768400</v>
      </c>
      <c r="X18" s="159">
        <v>6136</v>
      </c>
      <c r="Y18" s="671"/>
    </row>
    <row r="19" spans="1:25" s="38" customFormat="1" ht="15.75" customHeight="1" x14ac:dyDescent="0.2">
      <c r="A19" s="169" t="s">
        <v>158</v>
      </c>
      <c r="B19" s="145">
        <v>146</v>
      </c>
      <c r="C19" s="397">
        <v>2763</v>
      </c>
      <c r="D19" s="401">
        <v>12825</v>
      </c>
      <c r="E19" s="661">
        <v>160065</v>
      </c>
      <c r="F19" s="661">
        <v>1867</v>
      </c>
      <c r="G19" s="662">
        <v>1.2</v>
      </c>
      <c r="H19" s="661">
        <v>34114</v>
      </c>
      <c r="I19" s="662">
        <v>21.3</v>
      </c>
      <c r="J19" s="663">
        <v>124084</v>
      </c>
      <c r="K19" s="664">
        <v>77.5</v>
      </c>
      <c r="L19" s="1250">
        <v>5278</v>
      </c>
      <c r="M19" s="1384">
        <v>2943</v>
      </c>
      <c r="N19" s="660">
        <v>519</v>
      </c>
      <c r="O19" s="642">
        <v>13.8</v>
      </c>
      <c r="P19" s="663">
        <v>589812</v>
      </c>
      <c r="Q19" s="665">
        <v>1136</v>
      </c>
      <c r="R19" s="666">
        <v>3266</v>
      </c>
      <c r="S19" s="667">
        <v>4.3</v>
      </c>
      <c r="T19" s="668">
        <v>1147867</v>
      </c>
      <c r="U19" s="670">
        <v>35146</v>
      </c>
      <c r="V19" s="415"/>
      <c r="W19" s="103">
        <v>7399000</v>
      </c>
      <c r="X19" s="412">
        <v>2634</v>
      </c>
      <c r="Y19" s="671"/>
    </row>
    <row r="20" spans="1:25" s="38" customFormat="1" ht="15.75" customHeight="1" x14ac:dyDescent="0.2">
      <c r="A20" s="121" t="s">
        <v>159</v>
      </c>
      <c r="B20" s="193">
        <v>62</v>
      </c>
      <c r="C20" s="438">
        <v>3237</v>
      </c>
      <c r="D20" s="467">
        <v>13641</v>
      </c>
      <c r="E20" s="657">
        <v>174044</v>
      </c>
      <c r="F20" s="657">
        <v>630</v>
      </c>
      <c r="G20" s="656">
        <v>0.4</v>
      </c>
      <c r="H20" s="657">
        <v>42277</v>
      </c>
      <c r="I20" s="656">
        <v>24.3</v>
      </c>
      <c r="J20" s="680">
        <v>131137</v>
      </c>
      <c r="K20" s="681">
        <v>75.3</v>
      </c>
      <c r="L20" s="655">
        <v>2975</v>
      </c>
      <c r="M20" s="1354">
        <v>2574</v>
      </c>
      <c r="N20" s="655">
        <v>744</v>
      </c>
      <c r="O20" s="682">
        <v>9.6</v>
      </c>
      <c r="P20" s="680">
        <v>769780</v>
      </c>
      <c r="Q20" s="658">
        <v>1035</v>
      </c>
      <c r="R20" s="655">
        <v>3729</v>
      </c>
      <c r="S20" s="656">
        <v>10.6</v>
      </c>
      <c r="T20" s="657">
        <v>3057010</v>
      </c>
      <c r="U20" s="658">
        <v>81979</v>
      </c>
      <c r="V20" s="415"/>
      <c r="W20" s="186">
        <v>7426800</v>
      </c>
      <c r="X20" s="159">
        <v>3914</v>
      </c>
      <c r="Y20" s="671"/>
    </row>
    <row r="21" spans="1:25" s="38" customFormat="1" ht="15.75" customHeight="1" x14ac:dyDescent="0.2">
      <c r="A21" s="169" t="s">
        <v>163</v>
      </c>
      <c r="B21" s="145">
        <v>15</v>
      </c>
      <c r="C21" s="397">
        <v>2085</v>
      </c>
      <c r="D21" s="401">
        <v>8557</v>
      </c>
      <c r="E21" s="661">
        <v>141082</v>
      </c>
      <c r="F21" s="661">
        <v>192</v>
      </c>
      <c r="G21" s="662">
        <v>0.1</v>
      </c>
      <c r="H21" s="661">
        <v>31665</v>
      </c>
      <c r="I21" s="662">
        <v>22.4</v>
      </c>
      <c r="J21" s="663">
        <v>109225</v>
      </c>
      <c r="K21" s="664">
        <v>77.400000000000006</v>
      </c>
      <c r="L21" s="1390">
        <v>1975.85</v>
      </c>
      <c r="M21" s="1391">
        <v>1259</v>
      </c>
      <c r="N21" s="660">
        <v>519</v>
      </c>
      <c r="O21" s="642">
        <v>10</v>
      </c>
      <c r="P21" s="663">
        <v>1097537</v>
      </c>
      <c r="Q21" s="665">
        <v>2115</v>
      </c>
      <c r="R21" s="666">
        <v>2182</v>
      </c>
      <c r="S21" s="667">
        <v>17.899999999999999</v>
      </c>
      <c r="T21" s="668">
        <v>766096</v>
      </c>
      <c r="U21" s="670">
        <v>35110</v>
      </c>
      <c r="V21" s="415"/>
      <c r="W21" s="103">
        <v>7757000</v>
      </c>
      <c r="X21" s="412">
        <v>1341</v>
      </c>
      <c r="Y21" s="671"/>
    </row>
    <row r="22" spans="1:25" s="38" customFormat="1" ht="15.75" customHeight="1" x14ac:dyDescent="0.2">
      <c r="A22" s="121" t="s">
        <v>166</v>
      </c>
      <c r="B22" s="648">
        <v>34</v>
      </c>
      <c r="C22" s="649">
        <v>6143</v>
      </c>
      <c r="D22" s="649">
        <v>14676</v>
      </c>
      <c r="E22" s="649">
        <v>179695</v>
      </c>
      <c r="F22" s="649">
        <v>214</v>
      </c>
      <c r="G22" s="650">
        <v>0.1</v>
      </c>
      <c r="H22" s="649">
        <v>48159</v>
      </c>
      <c r="I22" s="650">
        <v>26.8</v>
      </c>
      <c r="J22" s="651">
        <v>131322</v>
      </c>
      <c r="K22" s="652">
        <v>73.099999999999994</v>
      </c>
      <c r="L22" s="648">
        <v>389</v>
      </c>
      <c r="M22" s="1392">
        <v>387</v>
      </c>
      <c r="N22" s="648">
        <v>1513</v>
      </c>
      <c r="O22" s="653">
        <v>4.0999999999999996</v>
      </c>
      <c r="P22" s="674">
        <v>487226</v>
      </c>
      <c r="Q22" s="677">
        <v>322</v>
      </c>
      <c r="R22" s="655">
        <v>3388</v>
      </c>
      <c r="S22" s="656">
        <v>4.5</v>
      </c>
      <c r="T22" s="657">
        <v>1122968</v>
      </c>
      <c r="U22" s="658">
        <v>33145</v>
      </c>
      <c r="W22" s="683">
        <v>2889973</v>
      </c>
      <c r="X22" s="684">
        <v>1542</v>
      </c>
    </row>
    <row r="23" spans="1:25" s="38" customFormat="1" ht="15.75" customHeight="1" x14ac:dyDescent="0.2">
      <c r="A23" s="169" t="s">
        <v>167</v>
      </c>
      <c r="B23" s="660">
        <v>10</v>
      </c>
      <c r="C23" s="661">
        <v>2035</v>
      </c>
      <c r="D23" s="661">
        <v>9008</v>
      </c>
      <c r="E23" s="661">
        <v>110758</v>
      </c>
      <c r="F23" s="661">
        <v>101</v>
      </c>
      <c r="G23" s="662">
        <v>0.09</v>
      </c>
      <c r="H23" s="661">
        <v>20847</v>
      </c>
      <c r="I23" s="662">
        <v>18.82</v>
      </c>
      <c r="J23" s="663">
        <v>89810</v>
      </c>
      <c r="K23" s="664">
        <v>81.09</v>
      </c>
      <c r="L23" s="1393">
        <v>674.3</v>
      </c>
      <c r="M23" s="1389">
        <v>417</v>
      </c>
      <c r="N23" s="660">
        <v>313</v>
      </c>
      <c r="O23" s="642">
        <v>10.6</v>
      </c>
      <c r="P23" s="663">
        <v>201459</v>
      </c>
      <c r="Q23" s="665">
        <v>644</v>
      </c>
      <c r="R23" s="666">
        <v>2397</v>
      </c>
      <c r="S23" s="667">
        <v>12.3</v>
      </c>
      <c r="T23" s="668">
        <v>822471</v>
      </c>
      <c r="U23" s="670">
        <v>34300</v>
      </c>
      <c r="W23" s="666">
        <v>58385566</v>
      </c>
      <c r="X23" s="665">
        <v>349</v>
      </c>
    </row>
    <row r="24" spans="1:25" s="38" customFormat="1" ht="15.75" customHeight="1" x14ac:dyDescent="0.2">
      <c r="A24" s="121" t="s">
        <v>168</v>
      </c>
      <c r="B24" s="648">
        <v>23</v>
      </c>
      <c r="C24" s="649">
        <v>2042</v>
      </c>
      <c r="D24" s="649">
        <v>13538</v>
      </c>
      <c r="E24" s="649">
        <v>189232</v>
      </c>
      <c r="F24" s="649">
        <v>128</v>
      </c>
      <c r="G24" s="650">
        <v>0.1</v>
      </c>
      <c r="H24" s="649">
        <v>30247</v>
      </c>
      <c r="I24" s="650">
        <v>16</v>
      </c>
      <c r="J24" s="651">
        <v>158857</v>
      </c>
      <c r="K24" s="652">
        <v>83.9</v>
      </c>
      <c r="L24" s="655">
        <v>765</v>
      </c>
      <c r="M24" s="1354">
        <v>632</v>
      </c>
      <c r="N24" s="648">
        <v>309</v>
      </c>
      <c r="O24" s="650">
        <v>4</v>
      </c>
      <c r="P24" s="651">
        <v>632561</v>
      </c>
      <c r="Q24" s="654">
        <v>2047</v>
      </c>
      <c r="R24" s="655">
        <v>3048</v>
      </c>
      <c r="S24" s="656">
        <v>7.1</v>
      </c>
      <c r="T24" s="657">
        <v>1163003</v>
      </c>
      <c r="U24" s="658">
        <v>38156</v>
      </c>
      <c r="W24" s="648">
        <v>1675787</v>
      </c>
      <c r="X24" s="654">
        <v>1647</v>
      </c>
    </row>
    <row r="25" spans="1:25" s="38" customFormat="1" ht="15.75" customHeight="1" x14ac:dyDescent="0.2">
      <c r="A25" s="169" t="s">
        <v>171</v>
      </c>
      <c r="B25" s="660">
        <v>30</v>
      </c>
      <c r="C25" s="661">
        <v>1816</v>
      </c>
      <c r="D25" s="661">
        <v>10505</v>
      </c>
      <c r="E25" s="661">
        <v>150671</v>
      </c>
      <c r="F25" s="661">
        <v>214</v>
      </c>
      <c r="G25" s="662">
        <v>0.2</v>
      </c>
      <c r="H25" s="661">
        <v>19935</v>
      </c>
      <c r="I25" s="662">
        <v>13.2</v>
      </c>
      <c r="J25" s="663">
        <v>130522</v>
      </c>
      <c r="K25" s="664">
        <v>86.6</v>
      </c>
      <c r="L25" s="660">
        <v>1892</v>
      </c>
      <c r="M25" s="1389">
        <v>767</v>
      </c>
      <c r="N25" s="660">
        <v>287</v>
      </c>
      <c r="O25" s="642">
        <v>1.1000000000000001</v>
      </c>
      <c r="P25" s="663">
        <v>300833</v>
      </c>
      <c r="Q25" s="665">
        <v>1049</v>
      </c>
      <c r="R25" s="666">
        <v>2398</v>
      </c>
      <c r="S25" s="667">
        <v>6.9</v>
      </c>
      <c r="T25" s="668">
        <v>917295</v>
      </c>
      <c r="U25" s="670">
        <v>38252</v>
      </c>
      <c r="W25" s="685">
        <v>4303464</v>
      </c>
      <c r="X25" s="665">
        <v>2174</v>
      </c>
    </row>
    <row r="26" spans="1:25" s="38" customFormat="1" ht="15.75" customHeight="1" x14ac:dyDescent="0.2">
      <c r="A26" s="121" t="s">
        <v>172</v>
      </c>
      <c r="B26" s="655">
        <v>27</v>
      </c>
      <c r="C26" s="657">
        <v>3204</v>
      </c>
      <c r="D26" s="657">
        <v>14949</v>
      </c>
      <c r="E26" s="657">
        <v>215748</v>
      </c>
      <c r="F26" s="657">
        <v>250</v>
      </c>
      <c r="G26" s="656">
        <v>0.1</v>
      </c>
      <c r="H26" s="657">
        <v>30832</v>
      </c>
      <c r="I26" s="656">
        <v>14.3</v>
      </c>
      <c r="J26" s="680">
        <v>184666</v>
      </c>
      <c r="K26" s="681">
        <v>85.9</v>
      </c>
      <c r="L26" s="655">
        <v>234</v>
      </c>
      <c r="M26" s="1354">
        <v>342</v>
      </c>
      <c r="N26" s="655">
        <v>583</v>
      </c>
      <c r="O26" s="682">
        <v>3.774</v>
      </c>
      <c r="P26" s="680">
        <v>373314</v>
      </c>
      <c r="Q26" s="658">
        <v>640</v>
      </c>
      <c r="R26" s="655">
        <v>4206</v>
      </c>
      <c r="S26" s="656">
        <v>22.8</v>
      </c>
      <c r="T26" s="657">
        <v>1381155</v>
      </c>
      <c r="U26" s="658">
        <v>32837</v>
      </c>
      <c r="V26" s="658"/>
      <c r="W26" s="651" t="s">
        <v>152</v>
      </c>
      <c r="X26" s="654">
        <v>2566</v>
      </c>
    </row>
    <row r="27" spans="1:25" s="38" customFormat="1" ht="15.75" customHeight="1" x14ac:dyDescent="0.2">
      <c r="A27" s="169" t="s">
        <v>173</v>
      </c>
      <c r="B27" s="660">
        <v>21</v>
      </c>
      <c r="C27" s="661">
        <f>0+1378+487</f>
        <v>1865</v>
      </c>
      <c r="D27" s="661">
        <f>12816-C27-B27</f>
        <v>10930</v>
      </c>
      <c r="E27" s="661">
        <f>F27+H27+J27</f>
        <v>120811</v>
      </c>
      <c r="F27" s="661">
        <v>269</v>
      </c>
      <c r="G27" s="662">
        <f>F27/E27*100</f>
        <v>0.22266184370628503</v>
      </c>
      <c r="H27" s="661">
        <f>7991+14213</f>
        <v>22204</v>
      </c>
      <c r="I27" s="662">
        <f>H27/E27*100</f>
        <v>18.379121106521758</v>
      </c>
      <c r="J27" s="663">
        <f>120811-H27-F27</f>
        <v>98338</v>
      </c>
      <c r="K27" s="664">
        <f>J27/E27*100</f>
        <v>81.398217049771958</v>
      </c>
      <c r="L27" s="660">
        <v>357</v>
      </c>
      <c r="M27" s="1389">
        <v>333</v>
      </c>
      <c r="N27" s="660">
        <v>242</v>
      </c>
      <c r="O27" s="642">
        <v>13.1</v>
      </c>
      <c r="P27" s="663">
        <v>525180</v>
      </c>
      <c r="Q27" s="665">
        <f>P27/N27</f>
        <v>2170.1652892561983</v>
      </c>
      <c r="R27" s="666">
        <v>2241</v>
      </c>
      <c r="S27" s="667">
        <f>(R27-2356)/2356*100</f>
        <v>-4.881154499151104</v>
      </c>
      <c r="T27" s="668">
        <v>359999</v>
      </c>
      <c r="U27" s="670">
        <f>T27/R27*100</f>
        <v>16064.21240517626</v>
      </c>
      <c r="W27" s="660">
        <v>8751774</v>
      </c>
      <c r="X27" s="665">
        <v>1752</v>
      </c>
    </row>
    <row r="28" spans="1:25" s="38" customFormat="1" ht="15.75" customHeight="1" x14ac:dyDescent="0.2">
      <c r="A28" s="121" t="s">
        <v>174</v>
      </c>
      <c r="B28" s="655">
        <v>96</v>
      </c>
      <c r="C28" s="657">
        <v>3666</v>
      </c>
      <c r="D28" s="657">
        <v>16597</v>
      </c>
      <c r="E28" s="657">
        <v>217688</v>
      </c>
      <c r="F28" s="657">
        <v>1338</v>
      </c>
      <c r="G28" s="656">
        <v>0.6</v>
      </c>
      <c r="H28" s="657">
        <v>58043</v>
      </c>
      <c r="I28" s="656">
        <v>26.7</v>
      </c>
      <c r="J28" s="680">
        <v>158307</v>
      </c>
      <c r="K28" s="681">
        <v>72.7</v>
      </c>
      <c r="L28" s="1085">
        <v>10477</v>
      </c>
      <c r="M28" s="1394">
        <v>3565</v>
      </c>
      <c r="N28" s="655">
        <v>869</v>
      </c>
      <c r="O28" s="682">
        <v>6.8</v>
      </c>
      <c r="P28" s="680">
        <v>1307998</v>
      </c>
      <c r="Q28" s="658">
        <v>1505</v>
      </c>
      <c r="R28" s="655">
        <v>5200</v>
      </c>
      <c r="S28" s="656">
        <v>7.5</v>
      </c>
      <c r="T28" s="657">
        <v>1926688</v>
      </c>
      <c r="U28" s="658">
        <v>38944</v>
      </c>
      <c r="V28" s="38">
        <v>1307998</v>
      </c>
      <c r="W28" s="655">
        <v>7150456</v>
      </c>
      <c r="X28" s="658">
        <v>7850</v>
      </c>
    </row>
    <row r="29" spans="1:25" s="38" customFormat="1" ht="15.75" customHeight="1" x14ac:dyDescent="0.2">
      <c r="A29" s="169" t="s">
        <v>175</v>
      </c>
      <c r="B29" s="660">
        <v>68</v>
      </c>
      <c r="C29" s="661">
        <v>4254</v>
      </c>
      <c r="D29" s="661">
        <v>21946</v>
      </c>
      <c r="E29" s="661">
        <v>251418</v>
      </c>
      <c r="F29" s="661">
        <v>505</v>
      </c>
      <c r="G29" s="662">
        <v>0.2</v>
      </c>
      <c r="H29" s="661">
        <v>42634</v>
      </c>
      <c r="I29" s="662">
        <v>17</v>
      </c>
      <c r="J29" s="663">
        <v>208279</v>
      </c>
      <c r="K29" s="664">
        <v>82.8</v>
      </c>
      <c r="L29" s="666">
        <v>3062</v>
      </c>
      <c r="M29" s="1386">
        <v>1384</v>
      </c>
      <c r="N29" s="660">
        <v>871</v>
      </c>
      <c r="O29" s="642">
        <v>13.4</v>
      </c>
      <c r="P29" s="663">
        <v>458381</v>
      </c>
      <c r="Q29" s="665">
        <v>526</v>
      </c>
      <c r="R29" s="666">
        <v>5502</v>
      </c>
      <c r="S29" s="667">
        <v>0.1</v>
      </c>
      <c r="T29" s="668">
        <v>2772725</v>
      </c>
      <c r="U29" s="670">
        <v>50395</v>
      </c>
      <c r="W29" s="669">
        <v>10676000</v>
      </c>
      <c r="X29" s="665">
        <v>12145</v>
      </c>
    </row>
    <row r="30" spans="1:25" s="38" customFormat="1" ht="15.75" customHeight="1" x14ac:dyDescent="0.2">
      <c r="A30" s="121" t="s">
        <v>251</v>
      </c>
      <c r="B30" s="655">
        <v>63</v>
      </c>
      <c r="C30" s="649">
        <v>2971</v>
      </c>
      <c r="D30" s="649">
        <v>12755</v>
      </c>
      <c r="E30" s="649">
        <v>149061</v>
      </c>
      <c r="F30" s="649">
        <v>775</v>
      </c>
      <c r="G30" s="650">
        <v>0.5</v>
      </c>
      <c r="H30" s="649">
        <v>32637</v>
      </c>
      <c r="I30" s="650">
        <v>21.9</v>
      </c>
      <c r="J30" s="651">
        <v>115649</v>
      </c>
      <c r="K30" s="681">
        <v>77.599999999999994</v>
      </c>
      <c r="L30" s="655">
        <v>6919</v>
      </c>
      <c r="M30" s="1354">
        <v>2333</v>
      </c>
      <c r="N30" s="648">
        <v>736</v>
      </c>
      <c r="O30" s="653">
        <v>28.9</v>
      </c>
      <c r="P30" s="651">
        <v>400689</v>
      </c>
      <c r="Q30" s="654">
        <v>544</v>
      </c>
      <c r="R30" s="655">
        <v>4305</v>
      </c>
      <c r="S30" s="656">
        <v>27.3</v>
      </c>
      <c r="T30" s="657">
        <v>1288114</v>
      </c>
      <c r="U30" s="658">
        <v>33029</v>
      </c>
      <c r="W30" s="648">
        <v>4204303</v>
      </c>
      <c r="X30" s="654">
        <v>3475</v>
      </c>
    </row>
    <row r="31" spans="1:25" s="38" customFormat="1" ht="15.75" customHeight="1" x14ac:dyDescent="0.2">
      <c r="A31" s="169" t="s">
        <v>178</v>
      </c>
      <c r="B31" s="485">
        <v>13</v>
      </c>
      <c r="C31" s="661">
        <v>1566</v>
      </c>
      <c r="D31" s="661">
        <v>9452</v>
      </c>
      <c r="E31" s="661">
        <v>100001</v>
      </c>
      <c r="F31" s="661">
        <v>132</v>
      </c>
      <c r="G31" s="662">
        <v>0.1319986800132</v>
      </c>
      <c r="H31" s="661">
        <v>16709</v>
      </c>
      <c r="I31" s="662">
        <v>16.7088329116709</v>
      </c>
      <c r="J31" s="661">
        <v>83160</v>
      </c>
      <c r="K31" s="664">
        <v>83.159168408315907</v>
      </c>
      <c r="L31" s="485">
        <v>713</v>
      </c>
      <c r="M31" s="1395">
        <v>995</v>
      </c>
      <c r="N31" s="485">
        <v>333</v>
      </c>
      <c r="O31" s="686">
        <v>21.1</v>
      </c>
      <c r="P31" s="486">
        <v>307659</v>
      </c>
      <c r="Q31" s="1395">
        <v>924</v>
      </c>
      <c r="R31" s="687">
        <v>2442</v>
      </c>
      <c r="S31" s="688">
        <v>90.9</v>
      </c>
      <c r="T31" s="689">
        <v>699990</v>
      </c>
      <c r="U31" s="690">
        <v>28665</v>
      </c>
      <c r="W31" s="660">
        <v>6121992</v>
      </c>
      <c r="X31" s="665">
        <v>3596</v>
      </c>
    </row>
    <row r="32" spans="1:25" s="38" customFormat="1" ht="15.75" customHeight="1" x14ac:dyDescent="0.2">
      <c r="A32" s="121" t="s">
        <v>179</v>
      </c>
      <c r="B32" s="655">
        <v>117</v>
      </c>
      <c r="C32" s="649">
        <v>3073</v>
      </c>
      <c r="D32" s="649">
        <v>15942</v>
      </c>
      <c r="E32" s="649">
        <v>183710</v>
      </c>
      <c r="F32" s="649">
        <v>1935</v>
      </c>
      <c r="G32" s="650">
        <v>1.1000000000000001</v>
      </c>
      <c r="H32" s="649">
        <v>35898</v>
      </c>
      <c r="I32" s="650">
        <v>19.5</v>
      </c>
      <c r="J32" s="651">
        <v>145877</v>
      </c>
      <c r="K32" s="681">
        <v>79.400000000000006</v>
      </c>
      <c r="L32" s="1085">
        <v>3081</v>
      </c>
      <c r="M32" s="1394">
        <v>4214</v>
      </c>
      <c r="N32" s="648">
        <v>558</v>
      </c>
      <c r="O32" s="653">
        <v>8.1</v>
      </c>
      <c r="P32" s="651">
        <v>580144</v>
      </c>
      <c r="Q32" s="654">
        <v>1040</v>
      </c>
      <c r="R32" s="655">
        <v>3807</v>
      </c>
      <c r="S32" s="656">
        <v>5.0999999999999996</v>
      </c>
      <c r="T32" s="657">
        <v>1685006</v>
      </c>
      <c r="U32" s="658">
        <v>44261</v>
      </c>
      <c r="W32" s="683">
        <v>10200700</v>
      </c>
      <c r="X32" s="654">
        <v>6016</v>
      </c>
    </row>
    <row r="33" spans="1:24" s="38" customFormat="1" ht="15.75" customHeight="1" x14ac:dyDescent="0.2">
      <c r="A33" s="169" t="s">
        <v>252</v>
      </c>
      <c r="B33" s="485">
        <v>51</v>
      </c>
      <c r="C33" s="661">
        <v>1840</v>
      </c>
      <c r="D33" s="661">
        <v>10953</v>
      </c>
      <c r="E33" s="661">
        <f>F33+H33+J33</f>
        <v>119927</v>
      </c>
      <c r="F33" s="661">
        <v>619</v>
      </c>
      <c r="G33" s="662">
        <f>F33/E33*100</f>
        <v>0.51614732295479748</v>
      </c>
      <c r="H33" s="661">
        <v>22575</v>
      </c>
      <c r="I33" s="662">
        <f>H33/E33*100</f>
        <v>18.823951237002507</v>
      </c>
      <c r="J33" s="661">
        <v>96733</v>
      </c>
      <c r="K33" s="664">
        <f>J33/E33*100</f>
        <v>80.659901440042688</v>
      </c>
      <c r="L33" s="485">
        <v>5941</v>
      </c>
      <c r="M33" s="1395">
        <v>3168</v>
      </c>
      <c r="N33" s="485">
        <v>375</v>
      </c>
      <c r="O33" s="686">
        <v>-8.8000000000000007</v>
      </c>
      <c r="P33" s="486">
        <v>489360</v>
      </c>
      <c r="Q33" s="1395">
        <v>1305</v>
      </c>
      <c r="R33" s="687">
        <v>2712</v>
      </c>
      <c r="S33" s="688">
        <v>4.8</v>
      </c>
      <c r="T33" s="689">
        <v>1061823</v>
      </c>
      <c r="U33" s="1084">
        <f>T33/R33*100</f>
        <v>39152.765486725664</v>
      </c>
      <c r="W33" s="660">
        <v>4974149</v>
      </c>
      <c r="X33" s="665">
        <v>7625</v>
      </c>
    </row>
    <row r="34" spans="1:24" s="38" customFormat="1" ht="15.75" customHeight="1" x14ac:dyDescent="0.2">
      <c r="A34" s="121" t="s">
        <v>181</v>
      </c>
      <c r="B34" s="655">
        <v>48</v>
      </c>
      <c r="C34" s="657">
        <v>3292</v>
      </c>
      <c r="D34" s="657">
        <v>17727</v>
      </c>
      <c r="E34" s="657">
        <v>189438</v>
      </c>
      <c r="F34" s="657">
        <v>693</v>
      </c>
      <c r="G34" s="656">
        <v>0.4</v>
      </c>
      <c r="H34" s="657">
        <v>28197</v>
      </c>
      <c r="I34" s="656">
        <v>14.9</v>
      </c>
      <c r="J34" s="680">
        <v>160548</v>
      </c>
      <c r="K34" s="681">
        <v>84.7</v>
      </c>
      <c r="L34" s="655">
        <v>2333</v>
      </c>
      <c r="M34" s="1354">
        <v>2121</v>
      </c>
      <c r="N34" s="655">
        <v>644</v>
      </c>
      <c r="O34" s="682">
        <v>8.8000000000000007</v>
      </c>
      <c r="P34" s="680">
        <v>249108</v>
      </c>
      <c r="Q34" s="658">
        <v>387</v>
      </c>
      <c r="R34" s="655">
        <v>4395</v>
      </c>
      <c r="S34" s="656">
        <v>-1.3468013468013467</v>
      </c>
      <c r="T34" s="657">
        <v>1493317</v>
      </c>
      <c r="U34" s="1081">
        <f>339.776336746303*100</f>
        <v>33977.633674630299</v>
      </c>
      <c r="W34" s="655">
        <v>7847785</v>
      </c>
      <c r="X34" s="658">
        <v>3850</v>
      </c>
    </row>
    <row r="35" spans="1:24" s="38" customFormat="1" ht="15.75" customHeight="1" x14ac:dyDescent="0.2">
      <c r="A35" s="169" t="s">
        <v>182</v>
      </c>
      <c r="B35" s="666">
        <v>114</v>
      </c>
      <c r="C35" s="668">
        <v>3037</v>
      </c>
      <c r="D35" s="668">
        <v>12270</v>
      </c>
      <c r="E35" s="668">
        <v>164878</v>
      </c>
      <c r="F35" s="668">
        <v>1070</v>
      </c>
      <c r="G35" s="667">
        <v>0.6</v>
      </c>
      <c r="H35" s="668">
        <v>47438</v>
      </c>
      <c r="I35" s="667">
        <v>28.8</v>
      </c>
      <c r="J35" s="678">
        <v>116370</v>
      </c>
      <c r="K35" s="679">
        <v>70.599999999999994</v>
      </c>
      <c r="L35" s="666">
        <v>4163</v>
      </c>
      <c r="M35" s="1386">
        <v>2741</v>
      </c>
      <c r="N35" s="666">
        <v>817</v>
      </c>
      <c r="O35" s="691">
        <v>9.4</v>
      </c>
      <c r="P35" s="678">
        <v>1301476</v>
      </c>
      <c r="Q35" s="670">
        <v>1593</v>
      </c>
      <c r="R35" s="666">
        <v>3317</v>
      </c>
      <c r="S35" s="667">
        <v>8.9</v>
      </c>
      <c r="T35" s="668">
        <v>1089863</v>
      </c>
      <c r="U35" s="1082">
        <v>32857</v>
      </c>
      <c r="W35" s="666">
        <v>3853058</v>
      </c>
      <c r="X35" s="670">
        <v>2894</v>
      </c>
    </row>
    <row r="36" spans="1:24" s="38" customFormat="1" ht="15.75" customHeight="1" x14ac:dyDescent="0.2">
      <c r="A36" s="121" t="s">
        <v>183</v>
      </c>
      <c r="B36" s="655">
        <v>34</v>
      </c>
      <c r="C36" s="657">
        <v>2939</v>
      </c>
      <c r="D36" s="657">
        <v>10956</v>
      </c>
      <c r="E36" s="657">
        <v>163737</v>
      </c>
      <c r="F36" s="657">
        <v>447</v>
      </c>
      <c r="G36" s="656">
        <v>0.27200000000000002</v>
      </c>
      <c r="H36" s="657">
        <v>51897</v>
      </c>
      <c r="I36" s="656">
        <v>31.695</v>
      </c>
      <c r="J36" s="680">
        <v>111393</v>
      </c>
      <c r="K36" s="681">
        <v>68.031000000000006</v>
      </c>
      <c r="L36" s="655">
        <v>1865</v>
      </c>
      <c r="M36" s="1354">
        <v>1101</v>
      </c>
      <c r="N36" s="655">
        <v>738</v>
      </c>
      <c r="O36" s="682">
        <v>1.0900000000000001</v>
      </c>
      <c r="P36" s="680">
        <v>2057440</v>
      </c>
      <c r="Q36" s="658">
        <v>2787.8</v>
      </c>
      <c r="R36" s="655">
        <v>2923</v>
      </c>
      <c r="S36" s="656">
        <v>1</v>
      </c>
      <c r="T36" s="657">
        <v>966687</v>
      </c>
      <c r="U36" s="1081">
        <v>33072</v>
      </c>
      <c r="W36" s="655">
        <v>5871954</v>
      </c>
      <c r="X36" s="658">
        <v>1743</v>
      </c>
    </row>
    <row r="37" spans="1:24" s="38" customFormat="1" ht="15.75" customHeight="1" x14ac:dyDescent="0.2">
      <c r="A37" s="169" t="s">
        <v>847</v>
      </c>
      <c r="B37" s="666">
        <v>20</v>
      </c>
      <c r="C37" s="668">
        <v>4022</v>
      </c>
      <c r="D37" s="668">
        <v>11904</v>
      </c>
      <c r="E37" s="668">
        <v>137141</v>
      </c>
      <c r="F37" s="668">
        <v>231</v>
      </c>
      <c r="G37" s="667">
        <v>0.2</v>
      </c>
      <c r="H37" s="668">
        <v>34224</v>
      </c>
      <c r="I37" s="667">
        <v>24.9</v>
      </c>
      <c r="J37" s="678">
        <v>102686</v>
      </c>
      <c r="K37" s="679">
        <v>74.900000000000006</v>
      </c>
      <c r="L37" s="666">
        <v>1444</v>
      </c>
      <c r="M37" s="1386">
        <v>917</v>
      </c>
      <c r="N37" s="666">
        <v>903</v>
      </c>
      <c r="O37" s="691">
        <v>9.5</v>
      </c>
      <c r="P37" s="678">
        <v>521795</v>
      </c>
      <c r="Q37" s="670">
        <v>578</v>
      </c>
      <c r="R37" s="666">
        <v>2778</v>
      </c>
      <c r="S37" s="667">
        <v>9.1999999999999993</v>
      </c>
      <c r="T37" s="668">
        <v>822362</v>
      </c>
      <c r="U37" s="1082">
        <v>29603</v>
      </c>
      <c r="W37" s="666">
        <v>4849734</v>
      </c>
      <c r="X37" s="670">
        <v>1399</v>
      </c>
    </row>
    <row r="38" spans="1:24" s="38" customFormat="1" ht="15.75" customHeight="1" x14ac:dyDescent="0.2">
      <c r="A38" s="121" t="s">
        <v>185</v>
      </c>
      <c r="B38" s="655">
        <v>68</v>
      </c>
      <c r="C38" s="657">
        <v>2897</v>
      </c>
      <c r="D38" s="657">
        <v>10542</v>
      </c>
      <c r="E38" s="657">
        <v>248872</v>
      </c>
      <c r="F38" s="657">
        <v>968</v>
      </c>
      <c r="G38" s="656">
        <v>0.4</v>
      </c>
      <c r="H38" s="657">
        <v>127463</v>
      </c>
      <c r="I38" s="656">
        <v>51.2</v>
      </c>
      <c r="J38" s="680">
        <v>120441</v>
      </c>
      <c r="K38" s="681">
        <v>48.4</v>
      </c>
      <c r="L38" s="655">
        <v>3339</v>
      </c>
      <c r="M38" s="1354">
        <v>1994</v>
      </c>
      <c r="N38" s="655">
        <v>897</v>
      </c>
      <c r="O38" s="682">
        <v>4.3</v>
      </c>
      <c r="P38" s="680">
        <v>14166632</v>
      </c>
      <c r="Q38" s="658">
        <v>15793</v>
      </c>
      <c r="R38" s="655">
        <v>2430</v>
      </c>
      <c r="S38" s="656">
        <v>5.8</v>
      </c>
      <c r="T38" s="657">
        <v>2275749</v>
      </c>
      <c r="U38" s="658">
        <v>93652</v>
      </c>
      <c r="W38" s="655">
        <v>10566819</v>
      </c>
      <c r="X38" s="658">
        <v>2940</v>
      </c>
    </row>
    <row r="39" spans="1:24" s="38" customFormat="1" ht="15.75" customHeight="1" x14ac:dyDescent="0.2">
      <c r="A39" s="169" t="s">
        <v>186</v>
      </c>
      <c r="B39" s="660">
        <v>24</v>
      </c>
      <c r="C39" s="661">
        <v>1626</v>
      </c>
      <c r="D39" s="661">
        <v>9717</v>
      </c>
      <c r="E39" s="661">
        <v>116437</v>
      </c>
      <c r="F39" s="661">
        <v>217</v>
      </c>
      <c r="G39" s="662">
        <v>0.2</v>
      </c>
      <c r="H39" s="661">
        <v>20918</v>
      </c>
      <c r="I39" s="662">
        <v>18</v>
      </c>
      <c r="J39" s="663">
        <v>95302</v>
      </c>
      <c r="K39" s="664">
        <v>81.8</v>
      </c>
      <c r="L39" s="660">
        <v>1242</v>
      </c>
      <c r="M39" s="1389">
        <v>1226</v>
      </c>
      <c r="N39" s="660">
        <v>252</v>
      </c>
      <c r="O39" s="642">
        <v>13.5</v>
      </c>
      <c r="P39" s="663">
        <v>359487</v>
      </c>
      <c r="Q39" s="665">
        <v>1427</v>
      </c>
      <c r="R39" s="666">
        <v>1935</v>
      </c>
      <c r="S39" s="667">
        <v>5.9</v>
      </c>
      <c r="T39" s="668">
        <v>469139</v>
      </c>
      <c r="U39" s="1082">
        <v>24245</v>
      </c>
      <c r="W39" s="669">
        <v>12903100</v>
      </c>
      <c r="X39" s="665">
        <v>3846</v>
      </c>
    </row>
    <row r="40" spans="1:24" s="38" customFormat="1" ht="15.75" customHeight="1" x14ac:dyDescent="0.2">
      <c r="A40" s="121" t="s">
        <v>187</v>
      </c>
      <c r="B40" s="648">
        <v>11</v>
      </c>
      <c r="C40" s="649">
        <v>2064</v>
      </c>
      <c r="D40" s="649">
        <v>10969</v>
      </c>
      <c r="E40" s="649">
        <v>127496</v>
      </c>
      <c r="F40" s="649">
        <v>54</v>
      </c>
      <c r="G40" s="650">
        <v>0</v>
      </c>
      <c r="H40" s="649">
        <v>20709</v>
      </c>
      <c r="I40" s="650">
        <v>16.2</v>
      </c>
      <c r="J40" s="651">
        <v>106733</v>
      </c>
      <c r="K40" s="652">
        <v>83.7</v>
      </c>
      <c r="L40" s="648">
        <v>56</v>
      </c>
      <c r="M40" s="1392">
        <v>69</v>
      </c>
      <c r="N40" s="648">
        <v>587</v>
      </c>
      <c r="O40" s="653">
        <v>10.3</v>
      </c>
      <c r="P40" s="651">
        <v>296823</v>
      </c>
      <c r="Q40" s="654">
        <v>506</v>
      </c>
      <c r="R40" s="655">
        <v>2800</v>
      </c>
      <c r="S40" s="656">
        <v>35.9</v>
      </c>
      <c r="T40" s="657">
        <v>1214198</v>
      </c>
      <c r="U40" s="658">
        <v>43364</v>
      </c>
      <c r="W40" s="692" t="s">
        <v>143</v>
      </c>
      <c r="X40" s="654">
        <v>1283</v>
      </c>
    </row>
    <row r="41" spans="1:24" s="38" customFormat="1" ht="15.75" customHeight="1" x14ac:dyDescent="0.2">
      <c r="A41" s="169" t="s">
        <v>188</v>
      </c>
      <c r="B41" s="660">
        <v>5</v>
      </c>
      <c r="C41" s="661">
        <v>1265</v>
      </c>
      <c r="D41" s="661">
        <v>10256</v>
      </c>
      <c r="E41" s="661">
        <v>144593</v>
      </c>
      <c r="F41" s="661">
        <v>38</v>
      </c>
      <c r="G41" s="662">
        <v>2.5999999999999999E-2</v>
      </c>
      <c r="H41" s="661">
        <v>14589</v>
      </c>
      <c r="I41" s="662">
        <v>10.08</v>
      </c>
      <c r="J41" s="663">
        <v>129966</v>
      </c>
      <c r="K41" s="664">
        <v>89.884</v>
      </c>
      <c r="L41" s="660">
        <v>36</v>
      </c>
      <c r="M41" s="665">
        <v>53</v>
      </c>
      <c r="N41" s="660">
        <v>172</v>
      </c>
      <c r="O41" s="642">
        <v>16.21</v>
      </c>
      <c r="P41" s="663">
        <v>292530</v>
      </c>
      <c r="Q41" s="665">
        <v>1701</v>
      </c>
      <c r="R41" s="666">
        <v>2445</v>
      </c>
      <c r="S41" s="667">
        <v>15.8</v>
      </c>
      <c r="T41" s="668">
        <v>1919875</v>
      </c>
      <c r="U41" s="670">
        <v>78522</v>
      </c>
      <c r="W41" s="660">
        <v>4748322</v>
      </c>
      <c r="X41" s="665">
        <v>2127</v>
      </c>
    </row>
    <row r="42" spans="1:24" s="38" customFormat="1" ht="15.75" customHeight="1" x14ac:dyDescent="0.2">
      <c r="A42" s="121" t="s">
        <v>190</v>
      </c>
      <c r="B42" s="648">
        <v>15</v>
      </c>
      <c r="C42" s="649">
        <v>1169</v>
      </c>
      <c r="D42" s="649">
        <v>8136</v>
      </c>
      <c r="E42" s="649">
        <v>102933</v>
      </c>
      <c r="F42" s="649">
        <v>77</v>
      </c>
      <c r="G42" s="656">
        <v>0.1</v>
      </c>
      <c r="H42" s="657">
        <v>16965</v>
      </c>
      <c r="I42" s="656">
        <v>16.5</v>
      </c>
      <c r="J42" s="680">
        <v>85891</v>
      </c>
      <c r="K42" s="681">
        <v>83.4</v>
      </c>
      <c r="L42" s="648">
        <v>247</v>
      </c>
      <c r="M42" s="1392">
        <v>440</v>
      </c>
      <c r="N42" s="648">
        <v>209</v>
      </c>
      <c r="O42" s="653">
        <v>-1.9</v>
      </c>
      <c r="P42" s="680">
        <v>374618</v>
      </c>
      <c r="Q42" s="658">
        <v>1792</v>
      </c>
      <c r="R42" s="655">
        <v>1725</v>
      </c>
      <c r="S42" s="656">
        <v>9</v>
      </c>
      <c r="T42" s="657">
        <v>555036</v>
      </c>
      <c r="U42" s="1081">
        <v>32176</v>
      </c>
      <c r="W42" s="683">
        <v>877907</v>
      </c>
      <c r="X42" s="654">
        <v>297</v>
      </c>
    </row>
    <row r="43" spans="1:24" s="38" customFormat="1" ht="15.75" customHeight="1" x14ac:dyDescent="0.2">
      <c r="A43" s="169" t="s">
        <v>191</v>
      </c>
      <c r="B43" s="660">
        <v>8</v>
      </c>
      <c r="C43" s="661">
        <v>1330</v>
      </c>
      <c r="D43" s="661">
        <v>8736</v>
      </c>
      <c r="E43" s="661">
        <v>120556</v>
      </c>
      <c r="F43" s="661">
        <v>24</v>
      </c>
      <c r="G43" s="662">
        <v>0.02</v>
      </c>
      <c r="H43" s="661">
        <v>24014</v>
      </c>
      <c r="I43" s="662">
        <v>19.91</v>
      </c>
      <c r="J43" s="663">
        <v>96518</v>
      </c>
      <c r="K43" s="664">
        <v>80.06</v>
      </c>
      <c r="L43" s="660">
        <v>213</v>
      </c>
      <c r="M43" s="1389">
        <v>364</v>
      </c>
      <c r="N43" s="660">
        <v>304</v>
      </c>
      <c r="O43" s="642">
        <v>2.2999999999999998</v>
      </c>
      <c r="P43" s="663">
        <v>753382</v>
      </c>
      <c r="Q43" s="665">
        <v>2478</v>
      </c>
      <c r="R43" s="666">
        <v>1829</v>
      </c>
      <c r="S43" s="667">
        <v>6.8</v>
      </c>
      <c r="T43" s="668">
        <v>503476</v>
      </c>
      <c r="U43" s="670">
        <v>27527</v>
      </c>
      <c r="W43" s="660" t="s">
        <v>152</v>
      </c>
      <c r="X43" s="665">
        <v>464</v>
      </c>
    </row>
    <row r="44" spans="1:24" s="38" customFormat="1" ht="15.75" customHeight="1" x14ac:dyDescent="0.2">
      <c r="A44" s="121" t="s">
        <v>253</v>
      </c>
      <c r="B44" s="648">
        <v>18</v>
      </c>
      <c r="C44" s="649">
        <v>3842</v>
      </c>
      <c r="D44" s="649">
        <v>8080</v>
      </c>
      <c r="E44" s="649">
        <v>110440</v>
      </c>
      <c r="F44" s="649">
        <v>114</v>
      </c>
      <c r="G44" s="650">
        <v>0.1</v>
      </c>
      <c r="H44" s="649">
        <v>42638</v>
      </c>
      <c r="I44" s="650">
        <v>38.6</v>
      </c>
      <c r="J44" s="651">
        <v>67688</v>
      </c>
      <c r="K44" s="652">
        <v>61.3</v>
      </c>
      <c r="L44" s="648">
        <v>128</v>
      </c>
      <c r="M44" s="1392">
        <v>238</v>
      </c>
      <c r="N44" s="648">
        <v>1456</v>
      </c>
      <c r="O44" s="653">
        <v>2.2000000000000002</v>
      </c>
      <c r="P44" s="651">
        <v>994294</v>
      </c>
      <c r="Q44" s="654">
        <v>683</v>
      </c>
      <c r="R44" s="655">
        <v>1841</v>
      </c>
      <c r="S44" s="656">
        <v>2.2000000000000002</v>
      </c>
      <c r="T44" s="657">
        <v>633927</v>
      </c>
      <c r="U44" s="658">
        <v>34434</v>
      </c>
      <c r="W44" s="648" t="s">
        <v>152</v>
      </c>
      <c r="X44" s="654">
        <v>258</v>
      </c>
    </row>
    <row r="45" spans="1:24" s="38" customFormat="1" ht="15.75" customHeight="1" x14ac:dyDescent="0.2">
      <c r="A45" s="169" t="s">
        <v>193</v>
      </c>
      <c r="B45" s="660">
        <v>4</v>
      </c>
      <c r="C45" s="661">
        <v>1101</v>
      </c>
      <c r="D45" s="661">
        <v>5991</v>
      </c>
      <c r="E45" s="661">
        <v>69396</v>
      </c>
      <c r="F45" s="661">
        <v>14</v>
      </c>
      <c r="G45" s="662">
        <v>0.02</v>
      </c>
      <c r="H45" s="661">
        <v>12804</v>
      </c>
      <c r="I45" s="662">
        <v>18.45</v>
      </c>
      <c r="J45" s="663">
        <v>56578</v>
      </c>
      <c r="K45" s="664">
        <v>81.52</v>
      </c>
      <c r="L45" s="660">
        <v>87</v>
      </c>
      <c r="M45" s="1389">
        <v>126</v>
      </c>
      <c r="N45" s="660">
        <v>255</v>
      </c>
      <c r="O45" s="642">
        <v>4.5</v>
      </c>
      <c r="P45" s="663">
        <v>176510</v>
      </c>
      <c r="Q45" s="665">
        <v>692</v>
      </c>
      <c r="R45" s="666">
        <v>1301</v>
      </c>
      <c r="S45" s="667">
        <v>11.3</v>
      </c>
      <c r="T45" s="668">
        <v>387457</v>
      </c>
      <c r="U45" s="678">
        <v>29781</v>
      </c>
      <c r="V45" s="693"/>
      <c r="W45" s="660" t="s">
        <v>152</v>
      </c>
      <c r="X45" s="665">
        <v>280</v>
      </c>
    </row>
    <row r="46" spans="1:24" s="38" customFormat="1" ht="15.75" customHeight="1" x14ac:dyDescent="0.2">
      <c r="A46" s="121" t="s">
        <v>194</v>
      </c>
      <c r="B46" s="648">
        <v>11</v>
      </c>
      <c r="C46" s="649">
        <v>7445</v>
      </c>
      <c r="D46" s="649">
        <v>17188</v>
      </c>
      <c r="E46" s="649">
        <v>231607</v>
      </c>
      <c r="F46" s="649">
        <v>66</v>
      </c>
      <c r="G46" s="650">
        <v>0.03</v>
      </c>
      <c r="H46" s="649">
        <v>72467</v>
      </c>
      <c r="I46" s="650">
        <v>31.29</v>
      </c>
      <c r="J46" s="651">
        <v>159074</v>
      </c>
      <c r="K46" s="652">
        <v>68.680000000000007</v>
      </c>
      <c r="L46" s="648">
        <v>65</v>
      </c>
      <c r="M46" s="1392">
        <v>132</v>
      </c>
      <c r="N46" s="648">
        <v>2671</v>
      </c>
      <c r="O46" s="653">
        <v>2.928709055876686</v>
      </c>
      <c r="P46" s="651">
        <v>1060572</v>
      </c>
      <c r="Q46" s="654">
        <v>397.06926244852116</v>
      </c>
      <c r="R46" s="655">
        <v>4290</v>
      </c>
      <c r="S46" s="656">
        <v>8.33</v>
      </c>
      <c r="T46" s="657">
        <v>1797420</v>
      </c>
      <c r="U46" s="658">
        <v>41900</v>
      </c>
      <c r="W46" s="648" t="s">
        <v>152</v>
      </c>
      <c r="X46" s="654">
        <v>1115</v>
      </c>
    </row>
    <row r="47" spans="1:24" s="38" customFormat="1" ht="15.75" customHeight="1" x14ac:dyDescent="0.2">
      <c r="A47" s="169" t="s">
        <v>195</v>
      </c>
      <c r="B47" s="660">
        <v>65</v>
      </c>
      <c r="C47" s="661">
        <v>4170</v>
      </c>
      <c r="D47" s="661">
        <v>19425</v>
      </c>
      <c r="E47" s="661">
        <v>244970</v>
      </c>
      <c r="F47" s="661">
        <v>877</v>
      </c>
      <c r="G47" s="662">
        <v>0.35800302077805446</v>
      </c>
      <c r="H47" s="661">
        <v>66955</v>
      </c>
      <c r="I47" s="662">
        <v>27.331918194064581</v>
      </c>
      <c r="J47" s="663">
        <v>177138</v>
      </c>
      <c r="K47" s="664">
        <v>72.310078785157359</v>
      </c>
      <c r="L47" s="660">
        <v>1939</v>
      </c>
      <c r="M47" s="1389">
        <v>1650</v>
      </c>
      <c r="N47" s="660">
        <v>1075</v>
      </c>
      <c r="O47" s="642">
        <v>1.9</v>
      </c>
      <c r="P47" s="663">
        <v>2349558</v>
      </c>
      <c r="Q47" s="665">
        <v>2186</v>
      </c>
      <c r="R47" s="666">
        <v>5044</v>
      </c>
      <c r="S47" s="667">
        <v>2.0639417239983686</v>
      </c>
      <c r="T47" s="668">
        <v>1682358</v>
      </c>
      <c r="U47" s="670">
        <v>33353.647898493262</v>
      </c>
      <c r="W47" s="660">
        <v>10032783</v>
      </c>
      <c r="X47" s="665">
        <v>6388</v>
      </c>
    </row>
    <row r="48" spans="1:24" s="38" customFormat="1" ht="15.75" customHeight="1" x14ac:dyDescent="0.2">
      <c r="A48" s="121" t="s">
        <v>196</v>
      </c>
      <c r="B48" s="648">
        <v>14</v>
      </c>
      <c r="C48" s="649">
        <v>3075</v>
      </c>
      <c r="D48" s="649">
        <v>14244</v>
      </c>
      <c r="E48" s="649">
        <v>191556</v>
      </c>
      <c r="F48" s="649">
        <v>348</v>
      </c>
      <c r="G48" s="650">
        <v>0.2</v>
      </c>
      <c r="H48" s="649">
        <v>52211</v>
      </c>
      <c r="I48" s="650">
        <v>27.2</v>
      </c>
      <c r="J48" s="651">
        <v>138997</v>
      </c>
      <c r="K48" s="652">
        <v>72.5</v>
      </c>
      <c r="L48" s="655">
        <v>52</v>
      </c>
      <c r="M48" s="1354">
        <v>118</v>
      </c>
      <c r="N48" s="648">
        <v>809</v>
      </c>
      <c r="O48" s="653">
        <v>3.3</v>
      </c>
      <c r="P48" s="651">
        <v>1377550</v>
      </c>
      <c r="Q48" s="654">
        <v>1703</v>
      </c>
      <c r="R48" s="655">
        <v>3722</v>
      </c>
      <c r="S48" s="656">
        <v>1.2</v>
      </c>
      <c r="T48" s="657">
        <v>1170478</v>
      </c>
      <c r="U48" s="658">
        <v>33252</v>
      </c>
      <c r="W48" s="655">
        <v>2597436</v>
      </c>
      <c r="X48" s="654">
        <v>1911</v>
      </c>
    </row>
    <row r="49" spans="1:24" s="38" customFormat="1" ht="15.75" customHeight="1" x14ac:dyDescent="0.2">
      <c r="A49" s="169" t="s">
        <v>197</v>
      </c>
      <c r="B49" s="660">
        <v>9</v>
      </c>
      <c r="C49" s="661">
        <v>1112</v>
      </c>
      <c r="D49" s="661">
        <v>7816</v>
      </c>
      <c r="E49" s="661">
        <v>100301</v>
      </c>
      <c r="F49" s="661">
        <v>54</v>
      </c>
      <c r="G49" s="662">
        <v>0.1</v>
      </c>
      <c r="H49" s="661">
        <v>25941</v>
      </c>
      <c r="I49" s="662">
        <v>25.9</v>
      </c>
      <c r="J49" s="663">
        <v>74306</v>
      </c>
      <c r="K49" s="664">
        <v>74.099999999999994</v>
      </c>
      <c r="L49" s="660">
        <v>356</v>
      </c>
      <c r="M49" s="1389">
        <v>438</v>
      </c>
      <c r="N49" s="660">
        <v>327</v>
      </c>
      <c r="O49" s="642">
        <v>4.8</v>
      </c>
      <c r="P49" s="663">
        <v>1111685</v>
      </c>
      <c r="Q49" s="665">
        <v>3400</v>
      </c>
      <c r="R49" s="666">
        <v>1788</v>
      </c>
      <c r="S49" s="667">
        <v>5.9</v>
      </c>
      <c r="T49" s="668">
        <v>624171</v>
      </c>
      <c r="U49" s="670">
        <v>34909</v>
      </c>
      <c r="W49" s="660">
        <v>5913563</v>
      </c>
      <c r="X49" s="665">
        <v>1470</v>
      </c>
    </row>
    <row r="50" spans="1:24" s="38" customFormat="1" ht="15.75" customHeight="1" x14ac:dyDescent="0.2">
      <c r="A50" s="121" t="s">
        <v>198</v>
      </c>
      <c r="B50" s="648">
        <v>16</v>
      </c>
      <c r="C50" s="649">
        <v>1171</v>
      </c>
      <c r="D50" s="649">
        <v>12708</v>
      </c>
      <c r="E50" s="649">
        <v>150119</v>
      </c>
      <c r="F50" s="649">
        <v>98</v>
      </c>
      <c r="G50" s="650">
        <v>0.1</v>
      </c>
      <c r="H50" s="649">
        <v>17667</v>
      </c>
      <c r="I50" s="650">
        <v>11.8</v>
      </c>
      <c r="J50" s="651">
        <v>132354</v>
      </c>
      <c r="K50" s="652">
        <v>88.2</v>
      </c>
      <c r="L50" s="648">
        <v>86</v>
      </c>
      <c r="M50" s="1392">
        <v>149</v>
      </c>
      <c r="N50" s="648">
        <v>189</v>
      </c>
      <c r="O50" s="653">
        <v>-1.6</v>
      </c>
      <c r="P50" s="651">
        <v>307441</v>
      </c>
      <c r="Q50" s="654">
        <v>1627</v>
      </c>
      <c r="R50" s="655">
        <v>2509</v>
      </c>
      <c r="S50" s="656">
        <v>2.1</v>
      </c>
      <c r="T50" s="657">
        <v>1524877</v>
      </c>
      <c r="U50" s="1081">
        <v>60776</v>
      </c>
      <c r="W50" s="648">
        <v>12641931</v>
      </c>
      <c r="X50" s="654">
        <v>958</v>
      </c>
    </row>
    <row r="51" spans="1:24" s="38" customFormat="1" ht="15.75" customHeight="1" x14ac:dyDescent="0.2">
      <c r="A51" s="169" t="s">
        <v>200</v>
      </c>
      <c r="B51" s="660">
        <v>19</v>
      </c>
      <c r="C51" s="661">
        <v>1279</v>
      </c>
      <c r="D51" s="661">
        <v>10717</v>
      </c>
      <c r="E51" s="661">
        <v>123876</v>
      </c>
      <c r="F51" s="661">
        <v>170</v>
      </c>
      <c r="G51" s="662">
        <v>0.1</v>
      </c>
      <c r="H51" s="661">
        <v>12867</v>
      </c>
      <c r="I51" s="662">
        <v>10.4</v>
      </c>
      <c r="J51" s="663">
        <v>110839</v>
      </c>
      <c r="K51" s="664">
        <v>89.5</v>
      </c>
      <c r="L51" s="1396">
        <v>1689</v>
      </c>
      <c r="M51" s="1397">
        <v>1461</v>
      </c>
      <c r="N51" s="660">
        <v>241</v>
      </c>
      <c r="O51" s="642">
        <v>9.5</v>
      </c>
      <c r="P51" s="663">
        <v>185021</v>
      </c>
      <c r="Q51" s="665">
        <v>768</v>
      </c>
      <c r="R51" s="666">
        <v>2254</v>
      </c>
      <c r="S51" s="667">
        <v>6.3</v>
      </c>
      <c r="T51" s="668">
        <v>602695</v>
      </c>
      <c r="U51" s="1082">
        <v>26739</v>
      </c>
      <c r="W51" s="660">
        <v>17411000</v>
      </c>
      <c r="X51" s="665">
        <v>4775</v>
      </c>
    </row>
    <row r="52" spans="1:24" s="38" customFormat="1" ht="15.75" customHeight="1" x14ac:dyDescent="0.2">
      <c r="A52" s="121" t="s">
        <v>201</v>
      </c>
      <c r="B52" s="655">
        <v>24</v>
      </c>
      <c r="C52" s="657">
        <v>2499</v>
      </c>
      <c r="D52" s="657">
        <v>13859</v>
      </c>
      <c r="E52" s="657">
        <v>166736</v>
      </c>
      <c r="F52" s="657">
        <v>437</v>
      </c>
      <c r="G52" s="656">
        <v>0.3</v>
      </c>
      <c r="H52" s="657">
        <v>35786</v>
      </c>
      <c r="I52" s="656">
        <v>21.5</v>
      </c>
      <c r="J52" s="680">
        <v>130513</v>
      </c>
      <c r="K52" s="681">
        <v>78.3</v>
      </c>
      <c r="L52" s="1085">
        <v>1452</v>
      </c>
      <c r="M52" s="1394">
        <v>1836</v>
      </c>
      <c r="N52" s="655">
        <v>694</v>
      </c>
      <c r="O52" s="682">
        <v>7.9</v>
      </c>
      <c r="P52" s="680">
        <v>1417882</v>
      </c>
      <c r="Q52" s="658">
        <v>2043</v>
      </c>
      <c r="R52" s="1085">
        <v>3522</v>
      </c>
      <c r="S52" s="1086">
        <v>9.6999999999999993</v>
      </c>
      <c r="T52" s="1087">
        <v>1133258</v>
      </c>
      <c r="U52" s="1081">
        <v>32177</v>
      </c>
      <c r="W52" s="655">
        <v>6903606</v>
      </c>
      <c r="X52" s="658">
        <v>3634</v>
      </c>
    </row>
    <row r="53" spans="1:24" s="38" customFormat="1" ht="15.75" customHeight="1" x14ac:dyDescent="0.2">
      <c r="A53" s="169" t="s">
        <v>202</v>
      </c>
      <c r="B53" s="660">
        <v>87</v>
      </c>
      <c r="C53" s="661">
        <v>1256</v>
      </c>
      <c r="D53" s="661">
        <v>7675</v>
      </c>
      <c r="E53" s="661">
        <v>83868</v>
      </c>
      <c r="F53" s="661">
        <v>821</v>
      </c>
      <c r="G53" s="662">
        <v>1</v>
      </c>
      <c r="H53" s="661">
        <v>17338</v>
      </c>
      <c r="I53" s="662">
        <v>20.7</v>
      </c>
      <c r="J53" s="663">
        <v>65709</v>
      </c>
      <c r="K53" s="664">
        <v>78.3</v>
      </c>
      <c r="L53" s="660">
        <v>4273</v>
      </c>
      <c r="M53" s="1389">
        <v>3423</v>
      </c>
      <c r="N53" s="660">
        <v>291</v>
      </c>
      <c r="O53" s="642">
        <v>7.4</v>
      </c>
      <c r="P53" s="663">
        <v>246504</v>
      </c>
      <c r="Q53" s="665">
        <v>847</v>
      </c>
      <c r="R53" s="666">
        <v>1871</v>
      </c>
      <c r="S53" s="667">
        <v>4</v>
      </c>
      <c r="T53" s="668">
        <v>449875</v>
      </c>
      <c r="U53" s="1082">
        <v>24045</v>
      </c>
      <c r="W53" s="660">
        <v>8565798</v>
      </c>
      <c r="X53" s="665">
        <v>2944</v>
      </c>
    </row>
    <row r="54" spans="1:24" s="38" customFormat="1" ht="15.75" customHeight="1" x14ac:dyDescent="0.2">
      <c r="A54" s="121" t="s">
        <v>203</v>
      </c>
      <c r="B54" s="648">
        <v>52</v>
      </c>
      <c r="C54" s="649">
        <v>1425</v>
      </c>
      <c r="D54" s="649">
        <v>8651</v>
      </c>
      <c r="E54" s="649">
        <v>94347</v>
      </c>
      <c r="F54" s="649">
        <v>622</v>
      </c>
      <c r="G54" s="650">
        <v>0.7</v>
      </c>
      <c r="H54" s="649">
        <v>15648</v>
      </c>
      <c r="I54" s="650">
        <v>16.600000000000001</v>
      </c>
      <c r="J54" s="651">
        <v>78077</v>
      </c>
      <c r="K54" s="652">
        <v>82.7</v>
      </c>
      <c r="L54" s="648">
        <v>2828</v>
      </c>
      <c r="M54" s="1392">
        <v>2284</v>
      </c>
      <c r="N54" s="648">
        <v>252</v>
      </c>
      <c r="O54" s="653">
        <v>-1.2</v>
      </c>
      <c r="P54" s="651">
        <v>115973</v>
      </c>
      <c r="Q54" s="654">
        <v>460</v>
      </c>
      <c r="R54" s="655">
        <v>2169</v>
      </c>
      <c r="S54" s="656">
        <v>1.2</v>
      </c>
      <c r="T54" s="657">
        <v>668788</v>
      </c>
      <c r="U54" s="1081">
        <v>30834</v>
      </c>
      <c r="W54" s="648">
        <v>10459384</v>
      </c>
      <c r="X54" s="654">
        <v>4326</v>
      </c>
    </row>
    <row r="55" spans="1:24" s="38" customFormat="1" ht="15.75" customHeight="1" x14ac:dyDescent="0.2">
      <c r="A55" s="169" t="s">
        <v>204</v>
      </c>
      <c r="B55" s="660">
        <v>29</v>
      </c>
      <c r="C55" s="661">
        <v>3604</v>
      </c>
      <c r="D55" s="661">
        <v>14730</v>
      </c>
      <c r="E55" s="661">
        <v>205279</v>
      </c>
      <c r="F55" s="661">
        <v>179</v>
      </c>
      <c r="G55" s="662">
        <v>0.1</v>
      </c>
      <c r="H55" s="661">
        <v>60351</v>
      </c>
      <c r="I55" s="662">
        <v>29.4</v>
      </c>
      <c r="J55" s="663">
        <v>144749</v>
      </c>
      <c r="K55" s="664">
        <v>70.5</v>
      </c>
      <c r="L55" s="660">
        <v>2312</v>
      </c>
      <c r="M55" s="1389">
        <v>2329</v>
      </c>
      <c r="N55" s="660">
        <v>857</v>
      </c>
      <c r="O55" s="642">
        <v>5.5</v>
      </c>
      <c r="P55" s="663">
        <v>4108613</v>
      </c>
      <c r="Q55" s="665">
        <v>4794</v>
      </c>
      <c r="R55" s="666">
        <v>3808</v>
      </c>
      <c r="S55" s="1088">
        <v>4.8</v>
      </c>
      <c r="T55" s="668">
        <v>1047738</v>
      </c>
      <c r="U55" s="1082">
        <v>27514</v>
      </c>
      <c r="W55" s="660">
        <v>5208000</v>
      </c>
      <c r="X55" s="665">
        <v>5646</v>
      </c>
    </row>
    <row r="56" spans="1:24" s="38" customFormat="1" ht="15.75" customHeight="1" x14ac:dyDescent="0.2">
      <c r="A56" s="121" t="s">
        <v>254</v>
      </c>
      <c r="B56" s="648">
        <v>41</v>
      </c>
      <c r="C56" s="649">
        <v>1750</v>
      </c>
      <c r="D56" s="649">
        <v>7743</v>
      </c>
      <c r="E56" s="649">
        <v>91931</v>
      </c>
      <c r="F56" s="649">
        <v>503</v>
      </c>
      <c r="G56" s="650">
        <v>0.6</v>
      </c>
      <c r="H56" s="649">
        <v>28231</v>
      </c>
      <c r="I56" s="650">
        <v>30.7</v>
      </c>
      <c r="J56" s="651">
        <v>63197</v>
      </c>
      <c r="K56" s="652">
        <v>68.7</v>
      </c>
      <c r="L56" s="648">
        <v>580</v>
      </c>
      <c r="M56" s="1392">
        <v>984</v>
      </c>
      <c r="N56" s="648">
        <v>511</v>
      </c>
      <c r="O56" s="653">
        <v>19.100000000000001</v>
      </c>
      <c r="P56" s="651">
        <v>1083947</v>
      </c>
      <c r="Q56" s="654">
        <v>2120</v>
      </c>
      <c r="R56" s="655">
        <v>2232</v>
      </c>
      <c r="S56" s="656">
        <v>0</v>
      </c>
      <c r="T56" s="657">
        <v>369092</v>
      </c>
      <c r="U56" s="1081">
        <v>16536</v>
      </c>
      <c r="W56" s="648">
        <v>3042000</v>
      </c>
      <c r="X56" s="654">
        <v>1837</v>
      </c>
    </row>
    <row r="57" spans="1:24" s="38" customFormat="1" ht="15.75" customHeight="1" x14ac:dyDescent="0.2">
      <c r="A57" s="169" t="s">
        <v>207</v>
      </c>
      <c r="B57" s="660">
        <v>39</v>
      </c>
      <c r="C57" s="661">
        <v>4338</v>
      </c>
      <c r="D57" s="661">
        <v>16655</v>
      </c>
      <c r="E57" s="661">
        <v>213750</v>
      </c>
      <c r="F57" s="661">
        <v>403</v>
      </c>
      <c r="G57" s="662">
        <v>0.188</v>
      </c>
      <c r="H57" s="661">
        <v>59583</v>
      </c>
      <c r="I57" s="662">
        <v>27.87</v>
      </c>
      <c r="J57" s="663">
        <v>153764</v>
      </c>
      <c r="K57" s="664">
        <v>71.930000000000007</v>
      </c>
      <c r="L57" s="666">
        <v>991</v>
      </c>
      <c r="M57" s="1397">
        <v>1382</v>
      </c>
      <c r="N57" s="660">
        <v>1371</v>
      </c>
      <c r="O57" s="642">
        <v>11.73</v>
      </c>
      <c r="P57" s="663">
        <v>2144814</v>
      </c>
      <c r="Q57" s="665">
        <v>1564.41</v>
      </c>
      <c r="R57" s="666">
        <v>5448</v>
      </c>
      <c r="S57" s="667">
        <v>-3.52</v>
      </c>
      <c r="T57" s="668">
        <v>1765785.27</v>
      </c>
      <c r="U57" s="1082">
        <v>32411.62</v>
      </c>
      <c r="W57" s="660">
        <v>5145000</v>
      </c>
      <c r="X57" s="665">
        <v>3873</v>
      </c>
    </row>
    <row r="58" spans="1:24" s="38" customFormat="1" ht="15.75" customHeight="1" x14ac:dyDescent="0.2">
      <c r="A58" s="121" t="s">
        <v>209</v>
      </c>
      <c r="B58" s="655">
        <v>69</v>
      </c>
      <c r="C58" s="657">
        <v>1711</v>
      </c>
      <c r="D58" s="657">
        <v>10150</v>
      </c>
      <c r="E58" s="657">
        <v>108866</v>
      </c>
      <c r="F58" s="657">
        <v>945</v>
      </c>
      <c r="G58" s="656">
        <v>0.9</v>
      </c>
      <c r="H58" s="657">
        <v>23563</v>
      </c>
      <c r="I58" s="656">
        <v>21.6</v>
      </c>
      <c r="J58" s="680">
        <v>84358</v>
      </c>
      <c r="K58" s="681">
        <v>77.5</v>
      </c>
      <c r="L58" s="655">
        <v>4400</v>
      </c>
      <c r="M58" s="1354">
        <v>2645</v>
      </c>
      <c r="N58" s="655">
        <v>412</v>
      </c>
      <c r="O58" s="682">
        <v>5.0999999999999996</v>
      </c>
      <c r="P58" s="680">
        <v>630919</v>
      </c>
      <c r="Q58" s="658">
        <v>1531</v>
      </c>
      <c r="R58" s="655">
        <v>2699</v>
      </c>
      <c r="S58" s="656">
        <v>-1.3</v>
      </c>
      <c r="T58" s="657">
        <v>551427</v>
      </c>
      <c r="U58" s="1081">
        <v>20430</v>
      </c>
      <c r="W58" s="694">
        <v>7112699</v>
      </c>
      <c r="X58" s="658">
        <v>3916</v>
      </c>
    </row>
    <row r="59" spans="1:24" s="38" customFormat="1" ht="15.75" customHeight="1" x14ac:dyDescent="0.2">
      <c r="A59" s="169" t="s">
        <v>210</v>
      </c>
      <c r="B59" s="660">
        <v>90</v>
      </c>
      <c r="C59" s="661">
        <v>3277</v>
      </c>
      <c r="D59" s="661">
        <v>18465</v>
      </c>
      <c r="E59" s="661">
        <v>203222</v>
      </c>
      <c r="F59" s="661">
        <v>691</v>
      </c>
      <c r="G59" s="662">
        <v>0.3</v>
      </c>
      <c r="H59" s="661">
        <v>34130</v>
      </c>
      <c r="I59" s="662">
        <v>16.8</v>
      </c>
      <c r="J59" s="663">
        <v>168401</v>
      </c>
      <c r="K59" s="664">
        <v>82.9</v>
      </c>
      <c r="L59" s="660">
        <v>3364</v>
      </c>
      <c r="M59" s="1389">
        <v>3700</v>
      </c>
      <c r="N59" s="660">
        <v>626</v>
      </c>
      <c r="O59" s="642">
        <v>1.1000000000000001</v>
      </c>
      <c r="P59" s="663">
        <v>363706</v>
      </c>
      <c r="Q59" s="665">
        <v>581</v>
      </c>
      <c r="R59" s="666">
        <v>4862</v>
      </c>
      <c r="S59" s="667">
        <v>1.1513142315889178</v>
      </c>
      <c r="T59" s="668">
        <v>2397282</v>
      </c>
      <c r="U59" s="1082">
        <v>49306.499382970003</v>
      </c>
      <c r="W59" s="660">
        <v>7011231</v>
      </c>
      <c r="X59" s="665">
        <v>6719</v>
      </c>
    </row>
    <row r="60" spans="1:24" s="38" customFormat="1" ht="15.75" customHeight="1" x14ac:dyDescent="0.2">
      <c r="A60" s="121" t="s">
        <v>212</v>
      </c>
      <c r="B60" s="648">
        <v>57</v>
      </c>
      <c r="C60" s="649">
        <v>2726</v>
      </c>
      <c r="D60" s="649">
        <v>18218</v>
      </c>
      <c r="E60" s="649">
        <v>215683</v>
      </c>
      <c r="F60" s="649">
        <v>414</v>
      </c>
      <c r="G60" s="656">
        <v>0.2</v>
      </c>
      <c r="H60" s="649">
        <v>30459</v>
      </c>
      <c r="I60" s="650">
        <v>14.1</v>
      </c>
      <c r="J60" s="651">
        <v>184810</v>
      </c>
      <c r="K60" s="681">
        <v>85.7</v>
      </c>
      <c r="L60" s="655">
        <v>2764</v>
      </c>
      <c r="M60" s="1354">
        <v>2845</v>
      </c>
      <c r="N60" s="648">
        <v>390</v>
      </c>
      <c r="O60" s="653">
        <v>-2.7</v>
      </c>
      <c r="P60" s="651">
        <v>329663</v>
      </c>
      <c r="Q60" s="654">
        <v>845</v>
      </c>
      <c r="R60" s="655">
        <v>5516</v>
      </c>
      <c r="S60" s="656">
        <v>144.4</v>
      </c>
      <c r="T60" s="657">
        <v>1794933</v>
      </c>
      <c r="U60" s="1081">
        <v>32500</v>
      </c>
      <c r="W60" s="683">
        <v>6153300</v>
      </c>
      <c r="X60" s="654">
        <v>8147</v>
      </c>
    </row>
    <row r="61" spans="1:24" s="38" customFormat="1" ht="15.75" customHeight="1" x14ac:dyDescent="0.2">
      <c r="A61" s="169" t="s">
        <v>213</v>
      </c>
      <c r="B61" s="660">
        <v>44</v>
      </c>
      <c r="C61" s="661">
        <v>2037</v>
      </c>
      <c r="D61" s="661">
        <v>14747</v>
      </c>
      <c r="E61" s="661">
        <v>147187</v>
      </c>
      <c r="F61" s="661">
        <v>545</v>
      </c>
      <c r="G61" s="662">
        <v>0.37027726633466274</v>
      </c>
      <c r="H61" s="661">
        <v>19622</v>
      </c>
      <c r="I61" s="662">
        <v>13.331340403704131</v>
      </c>
      <c r="J61" s="663">
        <v>127020</v>
      </c>
      <c r="K61" s="664">
        <v>86.298382329961214</v>
      </c>
      <c r="L61" s="660">
        <v>1572</v>
      </c>
      <c r="M61" s="1389">
        <v>1332</v>
      </c>
      <c r="N61" s="660">
        <v>373</v>
      </c>
      <c r="O61" s="642">
        <v>0.18789808917197454</v>
      </c>
      <c r="P61" s="663">
        <v>166691</v>
      </c>
      <c r="Q61" s="665">
        <v>446.89276139410185</v>
      </c>
      <c r="R61" s="666">
        <v>3579</v>
      </c>
      <c r="S61" s="667">
        <v>8.0615942028985508</v>
      </c>
      <c r="T61" s="668">
        <v>972508</v>
      </c>
      <c r="U61" s="1082">
        <v>27173</v>
      </c>
      <c r="W61" s="660">
        <v>3291000</v>
      </c>
      <c r="X61" s="665">
        <v>6145</v>
      </c>
    </row>
    <row r="62" spans="1:24" s="38" customFormat="1" ht="15.75" customHeight="1" x14ac:dyDescent="0.2">
      <c r="A62" s="121" t="s">
        <v>215</v>
      </c>
      <c r="B62" s="648">
        <v>88</v>
      </c>
      <c r="C62" s="649">
        <v>2018</v>
      </c>
      <c r="D62" s="649">
        <v>11538</v>
      </c>
      <c r="E62" s="649">
        <v>129899</v>
      </c>
      <c r="F62" s="649">
        <v>1210</v>
      </c>
      <c r="G62" s="650">
        <v>0.9</v>
      </c>
      <c r="H62" s="649">
        <v>21926</v>
      </c>
      <c r="I62" s="650">
        <v>16.899999999999999</v>
      </c>
      <c r="J62" s="651">
        <v>106763</v>
      </c>
      <c r="K62" s="652">
        <v>82.2</v>
      </c>
      <c r="L62" s="1398">
        <v>7290</v>
      </c>
      <c r="M62" s="1399">
        <v>2834</v>
      </c>
      <c r="N62" s="648">
        <v>440</v>
      </c>
      <c r="O62" s="653">
        <v>7.8</v>
      </c>
      <c r="P62" s="651">
        <v>308639</v>
      </c>
      <c r="Q62" s="654">
        <v>701</v>
      </c>
      <c r="R62" s="655">
        <v>3030</v>
      </c>
      <c r="S62" s="656">
        <v>6.5</v>
      </c>
      <c r="T62" s="657">
        <v>803145</v>
      </c>
      <c r="U62" s="1081">
        <v>26506</v>
      </c>
      <c r="W62" s="648">
        <v>6142703</v>
      </c>
      <c r="X62" s="654">
        <v>2748</v>
      </c>
    </row>
    <row r="63" spans="1:24" s="38" customFormat="1" ht="15.75" customHeight="1" x14ac:dyDescent="0.2">
      <c r="A63" s="169" t="s">
        <v>216</v>
      </c>
      <c r="B63" s="434">
        <v>52</v>
      </c>
      <c r="C63" s="397">
        <v>2192</v>
      </c>
      <c r="D63" s="397">
        <v>16596</v>
      </c>
      <c r="E63" s="397">
        <v>187492</v>
      </c>
      <c r="F63" s="399">
        <v>741</v>
      </c>
      <c r="G63" s="403">
        <v>0.4</v>
      </c>
      <c r="H63" s="397">
        <v>28445</v>
      </c>
      <c r="I63" s="403">
        <v>15.2</v>
      </c>
      <c r="J63" s="397">
        <v>158306</v>
      </c>
      <c r="K63" s="695">
        <v>84.4</v>
      </c>
      <c r="L63" s="145">
        <v>688</v>
      </c>
      <c r="M63" s="140">
        <v>986</v>
      </c>
      <c r="N63" s="145">
        <v>387</v>
      </c>
      <c r="O63" s="642">
        <v>19.100000000000001</v>
      </c>
      <c r="P63" s="663">
        <v>474275</v>
      </c>
      <c r="Q63" s="665">
        <v>1226</v>
      </c>
      <c r="R63" s="458">
        <v>4965</v>
      </c>
      <c r="S63" s="667">
        <v>22.7</v>
      </c>
      <c r="T63" s="456">
        <v>1250534</v>
      </c>
      <c r="U63" s="1089">
        <v>25187</v>
      </c>
      <c r="V63" s="696"/>
      <c r="W63" s="434">
        <v>6917800</v>
      </c>
      <c r="X63" s="140">
        <v>7010</v>
      </c>
    </row>
    <row r="64" spans="1:24" s="38" customFormat="1" ht="15.75" customHeight="1" x14ac:dyDescent="0.2">
      <c r="A64" s="121" t="s">
        <v>217</v>
      </c>
      <c r="B64" s="692">
        <v>65</v>
      </c>
      <c r="C64" s="649">
        <v>1542</v>
      </c>
      <c r="D64" s="649">
        <v>9162</v>
      </c>
      <c r="E64" s="657">
        <v>96038</v>
      </c>
      <c r="F64" s="657">
        <v>1168</v>
      </c>
      <c r="G64" s="656">
        <v>1.2</v>
      </c>
      <c r="H64" s="649">
        <v>16696</v>
      </c>
      <c r="I64" s="650">
        <v>17.399999999999999</v>
      </c>
      <c r="J64" s="649">
        <v>78174</v>
      </c>
      <c r="K64" s="652">
        <v>81.400000000000006</v>
      </c>
      <c r="L64" s="648">
        <v>2592.23</v>
      </c>
      <c r="M64" s="654">
        <v>1859</v>
      </c>
      <c r="N64" s="648">
        <v>260</v>
      </c>
      <c r="O64" s="650">
        <v>-6.5</v>
      </c>
      <c r="P64" s="651">
        <v>184843</v>
      </c>
      <c r="Q64" s="654">
        <v>711</v>
      </c>
      <c r="R64" s="655">
        <v>2501</v>
      </c>
      <c r="S64" s="656">
        <v>4.5</v>
      </c>
      <c r="T64" s="657">
        <v>691647</v>
      </c>
      <c r="U64" s="1081">
        <v>27655</v>
      </c>
      <c r="W64" s="692">
        <v>7105798</v>
      </c>
      <c r="X64" s="658">
        <v>5239</v>
      </c>
    </row>
    <row r="65" spans="1:24" s="38" customFormat="1" ht="15.75" customHeight="1" x14ac:dyDescent="0.2">
      <c r="A65" s="169" t="s">
        <v>219</v>
      </c>
      <c r="B65" s="434">
        <v>78</v>
      </c>
      <c r="C65" s="397">
        <v>2716</v>
      </c>
      <c r="D65" s="397">
        <v>16930</v>
      </c>
      <c r="E65" s="397">
        <v>214982</v>
      </c>
      <c r="F65" s="399">
        <v>1228</v>
      </c>
      <c r="G65" s="403">
        <v>0.6</v>
      </c>
      <c r="H65" s="397">
        <v>46455</v>
      </c>
      <c r="I65" s="403">
        <v>21.6</v>
      </c>
      <c r="J65" s="397">
        <v>167299</v>
      </c>
      <c r="K65" s="695">
        <v>77.8</v>
      </c>
      <c r="L65" s="183">
        <v>1740</v>
      </c>
      <c r="M65" s="197">
        <v>1650</v>
      </c>
      <c r="N65" s="145">
        <v>410</v>
      </c>
      <c r="O65" s="642">
        <v>3.3</v>
      </c>
      <c r="P65" s="663">
        <v>2810127</v>
      </c>
      <c r="Q65" s="665">
        <v>6853.9682926829264</v>
      </c>
      <c r="R65" s="458">
        <v>4197</v>
      </c>
      <c r="S65" s="667">
        <v>9.6999999999999993</v>
      </c>
      <c r="T65" s="456">
        <v>1467866</v>
      </c>
      <c r="U65" s="501">
        <v>34974</v>
      </c>
      <c r="V65" s="696"/>
      <c r="W65" s="434">
        <v>4227291</v>
      </c>
      <c r="X65" s="140">
        <v>6078</v>
      </c>
    </row>
    <row r="66" spans="1:24" s="38" customFormat="1" ht="15.75" customHeight="1" x14ac:dyDescent="0.2">
      <c r="A66" s="121" t="s">
        <v>220</v>
      </c>
      <c r="B66" s="692">
        <v>146</v>
      </c>
      <c r="C66" s="649">
        <v>2231</v>
      </c>
      <c r="D66" s="649">
        <v>15715</v>
      </c>
      <c r="E66" s="657">
        <v>175273</v>
      </c>
      <c r="F66" s="657">
        <v>1814</v>
      </c>
      <c r="G66" s="656">
        <v>1</v>
      </c>
      <c r="H66" s="649">
        <v>24290</v>
      </c>
      <c r="I66" s="650">
        <v>13.9</v>
      </c>
      <c r="J66" s="649">
        <v>149169</v>
      </c>
      <c r="K66" s="652">
        <v>85.1</v>
      </c>
      <c r="L66" s="1400">
        <v>4959</v>
      </c>
      <c r="M66" s="1401">
        <v>3009</v>
      </c>
      <c r="N66" s="648">
        <v>345</v>
      </c>
      <c r="O66" s="650">
        <v>6.2</v>
      </c>
      <c r="P66" s="651">
        <v>225266</v>
      </c>
      <c r="Q66" s="654">
        <v>653</v>
      </c>
      <c r="R66" s="655">
        <v>3922</v>
      </c>
      <c r="S66" s="656">
        <v>9.5</v>
      </c>
      <c r="T66" s="657">
        <v>1480481</v>
      </c>
      <c r="U66" s="658">
        <v>37748</v>
      </c>
      <c r="W66" s="692">
        <v>6181000</v>
      </c>
      <c r="X66" s="658">
        <v>8145</v>
      </c>
    </row>
    <row r="67" spans="1:24" s="38" customFormat="1" ht="15.75" customHeight="1" x14ac:dyDescent="0.2">
      <c r="A67" s="169" t="s">
        <v>221</v>
      </c>
      <c r="B67" s="697">
        <v>82</v>
      </c>
      <c r="C67" s="661">
        <v>3470</v>
      </c>
      <c r="D67" s="661">
        <v>23727</v>
      </c>
      <c r="E67" s="661">
        <v>274569</v>
      </c>
      <c r="F67" s="661">
        <v>637</v>
      </c>
      <c r="G67" s="662">
        <v>0.2</v>
      </c>
      <c r="H67" s="661">
        <v>35750</v>
      </c>
      <c r="I67" s="662">
        <v>13</v>
      </c>
      <c r="J67" s="661">
        <v>238182</v>
      </c>
      <c r="K67" s="664">
        <v>86.8</v>
      </c>
      <c r="L67" s="660">
        <v>1173</v>
      </c>
      <c r="M67" s="665">
        <v>969</v>
      </c>
      <c r="N67" s="660">
        <v>532</v>
      </c>
      <c r="O67" s="662">
        <v>7</v>
      </c>
      <c r="P67" s="663">
        <v>375729</v>
      </c>
      <c r="Q67" s="665">
        <v>706</v>
      </c>
      <c r="R67" s="666">
        <v>6103</v>
      </c>
      <c r="S67" s="667">
        <v>8.6</v>
      </c>
      <c r="T67" s="668">
        <v>2604953</v>
      </c>
      <c r="U67" s="670">
        <v>42683</v>
      </c>
      <c r="W67" s="660">
        <v>10007000</v>
      </c>
      <c r="X67" s="665">
        <v>9351</v>
      </c>
    </row>
    <row r="68" spans="1:24" s="38" customFormat="1" ht="15.75" customHeight="1" thickBot="1" x14ac:dyDescent="0.25">
      <c r="A68" s="121" t="s">
        <v>223</v>
      </c>
      <c r="B68" s="692">
        <v>12</v>
      </c>
      <c r="C68" s="649">
        <v>1158</v>
      </c>
      <c r="D68" s="649">
        <v>16169</v>
      </c>
      <c r="E68" s="649">
        <v>156031</v>
      </c>
      <c r="F68" s="649">
        <v>91</v>
      </c>
      <c r="G68" s="650">
        <v>0.1</v>
      </c>
      <c r="H68" s="649">
        <v>10938</v>
      </c>
      <c r="I68" s="650">
        <v>7</v>
      </c>
      <c r="J68" s="649">
        <v>145002</v>
      </c>
      <c r="K68" s="652">
        <v>92.9</v>
      </c>
      <c r="L68" s="1398">
        <v>56</v>
      </c>
      <c r="M68" s="1402">
        <v>72</v>
      </c>
      <c r="N68" s="648">
        <v>119</v>
      </c>
      <c r="O68" s="650">
        <v>12.3</v>
      </c>
      <c r="P68" s="651">
        <v>34930</v>
      </c>
      <c r="Q68" s="654">
        <v>294</v>
      </c>
      <c r="R68" s="655">
        <v>4385</v>
      </c>
      <c r="S68" s="656">
        <v>1.44195988161789</v>
      </c>
      <c r="T68" s="657">
        <v>937757</v>
      </c>
      <c r="U68" s="658">
        <v>24795</v>
      </c>
      <c r="W68" s="692">
        <v>8919809</v>
      </c>
      <c r="X68" s="654">
        <v>21432</v>
      </c>
    </row>
    <row r="69" spans="1:24" ht="18" customHeight="1" thickTop="1" x14ac:dyDescent="0.2">
      <c r="A69" s="239" t="s">
        <v>224</v>
      </c>
      <c r="B69" s="698">
        <f>SUM(B7:B68)</f>
        <v>2988</v>
      </c>
      <c r="C69" s="699">
        <f>SUM(C7:C68)</f>
        <v>154201</v>
      </c>
      <c r="D69" s="699">
        <f>SUM(D7:D68)</f>
        <v>791528</v>
      </c>
      <c r="E69" s="699">
        <f>SUM(E7:E68)</f>
        <v>9679490</v>
      </c>
      <c r="F69" s="699">
        <f>SUM(F7:F68)</f>
        <v>35238</v>
      </c>
      <c r="G69" s="700" t="s">
        <v>139</v>
      </c>
      <c r="H69" s="699">
        <f>SUM(H7:H68)</f>
        <v>2001388</v>
      </c>
      <c r="I69" s="700" t="s">
        <v>139</v>
      </c>
      <c r="J69" s="699">
        <f>SUM(J7:J68)</f>
        <v>7642864</v>
      </c>
      <c r="K69" s="318" t="s">
        <v>139</v>
      </c>
      <c r="L69" s="1403">
        <f>SUM(L7:L68)</f>
        <v>175301.38000000003</v>
      </c>
      <c r="M69" s="701">
        <f>SUM(M7:M68)</f>
        <v>100114</v>
      </c>
      <c r="N69" s="1403">
        <f>SUM(N7:N68)</f>
        <v>34036</v>
      </c>
      <c r="O69" s="700" t="s">
        <v>139</v>
      </c>
      <c r="P69" s="699">
        <f>SUM(P7:P68)</f>
        <v>57705057</v>
      </c>
      <c r="Q69" s="702">
        <f>SUM(Q7:Q68)</f>
        <v>98296.204651700886</v>
      </c>
      <c r="R69" s="698">
        <f>SUM(R7:R68)</f>
        <v>203345</v>
      </c>
      <c r="S69" s="700" t="s">
        <v>139</v>
      </c>
      <c r="T69" s="699">
        <f>SUM(T7:T68)</f>
        <v>74720155.270000011</v>
      </c>
      <c r="U69" s="703">
        <f>SUM(U7:U68)</f>
        <v>2257241.4988875315</v>
      </c>
      <c r="V69" s="576"/>
      <c r="W69" s="698">
        <f>SUM(W7:W68)</f>
        <v>430212025</v>
      </c>
      <c r="X69" s="701">
        <f>SUM(X7:X68)</f>
        <v>271674</v>
      </c>
    </row>
    <row r="70" spans="1:24" ht="18" customHeight="1" thickBot="1" x14ac:dyDescent="0.25">
      <c r="A70" s="261" t="s">
        <v>225</v>
      </c>
      <c r="B70" s="704">
        <f t="shared" ref="B70:R70" si="0">AVERAGE(B7:B68)</f>
        <v>48.193548387096776</v>
      </c>
      <c r="C70" s="705">
        <f t="shared" si="0"/>
        <v>2487.1129032258063</v>
      </c>
      <c r="D70" s="705">
        <f t="shared" si="0"/>
        <v>12766.58064516129</v>
      </c>
      <c r="E70" s="705">
        <f t="shared" si="0"/>
        <v>156120.80645161291</v>
      </c>
      <c r="F70" s="705">
        <f t="shared" si="0"/>
        <v>568.35483870967744</v>
      </c>
      <c r="G70" s="706">
        <f t="shared" si="0"/>
        <v>0.38220012952157312</v>
      </c>
      <c r="H70" s="705">
        <f t="shared" si="0"/>
        <v>32280.451612903227</v>
      </c>
      <c r="I70" s="706">
        <f t="shared" si="0"/>
        <v>20.244466466735084</v>
      </c>
      <c r="J70" s="705">
        <f t="shared" si="0"/>
        <v>123272</v>
      </c>
      <c r="K70" s="707">
        <f t="shared" si="0"/>
        <v>79.375994694065895</v>
      </c>
      <c r="L70" s="1404">
        <f t="shared" si="0"/>
        <v>2827.4416129032265</v>
      </c>
      <c r="M70" s="708">
        <f t="shared" si="0"/>
        <v>1614.741935483871</v>
      </c>
      <c r="N70" s="1404">
        <f t="shared" si="0"/>
        <v>548.9677419354839</v>
      </c>
      <c r="O70" s="706">
        <f t="shared" si="0"/>
        <v>6.7671496742725052</v>
      </c>
      <c r="P70" s="705">
        <f t="shared" si="0"/>
        <v>930726.72580645164</v>
      </c>
      <c r="Q70" s="709">
        <f t="shared" si="0"/>
        <v>1585.4226556725948</v>
      </c>
      <c r="R70" s="704">
        <f t="shared" si="0"/>
        <v>3279.7580645161293</v>
      </c>
      <c r="S70" s="706">
        <f>AVERAGE(S7:S68)</f>
        <v>12.345453462145016</v>
      </c>
      <c r="T70" s="705">
        <f>AVERAGE(T7:T68)</f>
        <v>1205163.7946774196</v>
      </c>
      <c r="U70" s="710">
        <f>AVERAGE(U7:U68)</f>
        <v>36407.120949798897</v>
      </c>
      <c r="V70" s="576"/>
      <c r="W70" s="711" t="s">
        <v>139</v>
      </c>
      <c r="X70" s="708">
        <f>AVERAGE(X7:X68)</f>
        <v>4381.8387096774195</v>
      </c>
    </row>
    <row r="71" spans="1:24" s="327" customFormat="1" ht="13.95" customHeight="1" thickTop="1" x14ac:dyDescent="0.2">
      <c r="A71" s="712" t="s">
        <v>255</v>
      </c>
      <c r="B71" s="713" t="s">
        <v>422</v>
      </c>
      <c r="C71" s="713"/>
      <c r="D71" s="713"/>
      <c r="E71" s="713"/>
      <c r="F71" s="713"/>
      <c r="G71" s="713"/>
      <c r="H71" s="713"/>
      <c r="I71" s="713"/>
      <c r="J71" s="713"/>
      <c r="K71" s="713"/>
      <c r="L71" s="1619" t="s">
        <v>863</v>
      </c>
      <c r="M71" s="1619"/>
      <c r="N71" s="1620" t="s">
        <v>423</v>
      </c>
      <c r="O71" s="1620"/>
      <c r="P71" s="1620"/>
      <c r="Q71" s="1620"/>
      <c r="R71" s="713" t="s">
        <v>424</v>
      </c>
      <c r="S71" s="714"/>
      <c r="T71" s="715"/>
      <c r="U71" s="715"/>
      <c r="W71" s="716"/>
      <c r="X71" s="715"/>
    </row>
    <row r="72" spans="1:24" s="327" customFormat="1" ht="13.2" customHeight="1" x14ac:dyDescent="0.2">
      <c r="A72" s="717"/>
      <c r="B72" s="718"/>
      <c r="C72" s="718"/>
      <c r="D72" s="718"/>
      <c r="E72" s="718"/>
      <c r="F72" s="718"/>
      <c r="G72" s="718"/>
      <c r="H72" s="718"/>
      <c r="I72" s="718"/>
      <c r="J72" s="718"/>
      <c r="K72" s="718"/>
      <c r="L72" s="1619"/>
      <c r="M72" s="1619"/>
      <c r="N72" s="1621"/>
      <c r="O72" s="1621"/>
      <c r="P72" s="1621"/>
      <c r="Q72" s="1621"/>
      <c r="R72" s="719" t="s">
        <v>425</v>
      </c>
      <c r="S72" s="714"/>
      <c r="T72" s="715"/>
      <c r="U72" s="715"/>
      <c r="W72" s="715"/>
      <c r="X72" s="715"/>
    </row>
    <row r="73" spans="1:24" s="327" customFormat="1" ht="13.2" customHeight="1" x14ac:dyDescent="0.2">
      <c r="A73" s="712"/>
      <c r="B73" s="718"/>
      <c r="C73" s="718"/>
      <c r="D73" s="718"/>
      <c r="E73" s="718"/>
      <c r="F73" s="718"/>
      <c r="G73" s="718"/>
      <c r="H73" s="718"/>
      <c r="I73" s="718"/>
      <c r="J73" s="718"/>
      <c r="K73" s="718"/>
      <c r="L73" s="720"/>
      <c r="M73" s="1339"/>
      <c r="N73" s="1621" t="s">
        <v>426</v>
      </c>
      <c r="O73" s="1621"/>
      <c r="P73" s="1621"/>
      <c r="Q73" s="1621"/>
      <c r="R73" s="719" t="s">
        <v>427</v>
      </c>
      <c r="S73" s="714"/>
      <c r="T73" s="715"/>
      <c r="U73" s="715"/>
      <c r="W73" s="715"/>
      <c r="X73" s="715"/>
    </row>
    <row r="74" spans="1:24" s="327" customFormat="1" ht="13.2" customHeight="1" x14ac:dyDescent="0.2">
      <c r="A74" s="717"/>
      <c r="B74" s="718"/>
      <c r="C74" s="718"/>
      <c r="D74" s="718"/>
      <c r="E74" s="718"/>
      <c r="F74" s="718"/>
      <c r="G74" s="718"/>
      <c r="H74" s="718"/>
      <c r="I74" s="718"/>
      <c r="J74" s="718"/>
      <c r="K74" s="718"/>
      <c r="M74" s="717"/>
      <c r="N74" s="1621"/>
      <c r="O74" s="1621"/>
      <c r="P74" s="1621"/>
      <c r="Q74" s="1621"/>
      <c r="R74" s="719" t="s">
        <v>428</v>
      </c>
      <c r="S74" s="714"/>
      <c r="T74" s="715"/>
      <c r="U74" s="715"/>
      <c r="W74" s="715"/>
      <c r="X74" s="715"/>
    </row>
    <row r="75" spans="1:24" s="3" customFormat="1" ht="13.2" customHeight="1" x14ac:dyDescent="0.2">
      <c r="A75" s="721"/>
      <c r="B75" s="721"/>
      <c r="C75" s="722"/>
      <c r="D75" s="723"/>
      <c r="E75" s="723"/>
      <c r="F75" s="723"/>
      <c r="G75" s="723"/>
      <c r="H75" s="723"/>
      <c r="I75" s="723"/>
      <c r="J75" s="723"/>
      <c r="K75" s="723"/>
      <c r="L75" s="713"/>
      <c r="M75" s="723"/>
      <c r="N75" s="1621" t="s">
        <v>429</v>
      </c>
      <c r="O75" s="1621"/>
      <c r="P75" s="1621"/>
      <c r="Q75" s="1621"/>
      <c r="R75" s="719"/>
      <c r="S75" s="723"/>
      <c r="T75" s="723"/>
      <c r="U75" s="723"/>
      <c r="V75" s="723"/>
      <c r="W75" s="723"/>
      <c r="X75" s="723"/>
    </row>
    <row r="76" spans="1:24" s="3" customFormat="1" ht="15.6" x14ac:dyDescent="0.2">
      <c r="L76" s="719"/>
      <c r="N76" s="1621"/>
      <c r="O76" s="1621"/>
      <c r="P76" s="1621"/>
      <c r="Q76" s="1621"/>
      <c r="R76" s="719"/>
      <c r="S76" s="724"/>
      <c r="T76" s="402"/>
      <c r="U76" s="402"/>
      <c r="W76" s="402"/>
      <c r="X76" s="402"/>
    </row>
    <row r="77" spans="1:24" ht="15.6" x14ac:dyDescent="0.2">
      <c r="R77" s="725"/>
      <c r="S77" s="724"/>
      <c r="T77" s="402"/>
      <c r="U77" s="402"/>
      <c r="W77" s="402"/>
      <c r="X77" s="402"/>
    </row>
    <row r="78" spans="1:24" ht="15.6" x14ac:dyDescent="0.2">
      <c r="R78" s="725"/>
      <c r="S78" s="724"/>
      <c r="T78" s="402"/>
      <c r="U78" s="402"/>
      <c r="W78" s="402"/>
      <c r="X78" s="402"/>
    </row>
    <row r="79" spans="1:24" ht="15.6" x14ac:dyDescent="0.2">
      <c r="R79" s="725"/>
      <c r="S79" s="724"/>
      <c r="T79" s="402"/>
      <c r="U79" s="402"/>
      <c r="W79" s="402"/>
      <c r="X79" s="402"/>
    </row>
    <row r="80" spans="1:24" ht="15.6" x14ac:dyDescent="0.2">
      <c r="R80" s="725"/>
      <c r="S80" s="724"/>
      <c r="T80" s="402"/>
      <c r="U80" s="402"/>
      <c r="W80" s="402"/>
      <c r="X80" s="402"/>
    </row>
    <row r="81" spans="18:24" ht="15.6" x14ac:dyDescent="0.2">
      <c r="R81" s="725"/>
      <c r="S81" s="724"/>
      <c r="T81" s="402"/>
      <c r="U81" s="402"/>
      <c r="W81" s="402"/>
      <c r="X81" s="402"/>
    </row>
    <row r="82" spans="18:24" ht="15.6" x14ac:dyDescent="0.2">
      <c r="R82" s="725"/>
      <c r="S82" s="724"/>
      <c r="T82" s="402"/>
      <c r="U82" s="402"/>
      <c r="W82" s="402"/>
      <c r="X82" s="402"/>
    </row>
    <row r="83" spans="18:24" ht="15.6" x14ac:dyDescent="0.2">
      <c r="R83" s="725"/>
      <c r="S83" s="726"/>
      <c r="T83" s="402"/>
      <c r="U83" s="402"/>
      <c r="W83" s="402"/>
      <c r="X83" s="402"/>
    </row>
    <row r="84" spans="18:24" ht="15.6" x14ac:dyDescent="0.2">
      <c r="R84" s="725"/>
      <c r="S84" s="724"/>
      <c r="T84" s="402"/>
      <c r="U84" s="402"/>
      <c r="W84" s="402"/>
      <c r="X84" s="402"/>
    </row>
    <row r="85" spans="18:24" ht="15.6" x14ac:dyDescent="0.2">
      <c r="R85" s="725"/>
      <c r="S85" s="724"/>
      <c r="T85" s="402"/>
      <c r="U85" s="402"/>
      <c r="W85" s="402"/>
      <c r="X85" s="402"/>
    </row>
    <row r="86" spans="18:24" ht="15.6" x14ac:dyDescent="0.2">
      <c r="R86" s="725"/>
      <c r="S86" s="724"/>
      <c r="T86" s="402"/>
      <c r="U86" s="402"/>
      <c r="W86" s="402"/>
      <c r="X86" s="402"/>
    </row>
    <row r="87" spans="18:24" ht="15.6" x14ac:dyDescent="0.2">
      <c r="R87" s="725"/>
      <c r="S87" s="724"/>
      <c r="T87" s="402"/>
      <c r="U87" s="402"/>
      <c r="W87" s="402"/>
      <c r="X87" s="402"/>
    </row>
    <row r="88" spans="18:24" ht="15.6" x14ac:dyDescent="0.2">
      <c r="R88" s="725"/>
      <c r="S88" s="724"/>
      <c r="T88" s="402"/>
      <c r="U88" s="402"/>
      <c r="W88" s="402"/>
      <c r="X88" s="402"/>
    </row>
    <row r="89" spans="18:24" ht="15.6" x14ac:dyDescent="0.2">
      <c r="R89" s="725"/>
      <c r="S89" s="724"/>
      <c r="T89" s="402"/>
      <c r="U89" s="402"/>
      <c r="W89" s="402"/>
      <c r="X89" s="402"/>
    </row>
    <row r="90" spans="18:24" ht="15.6" x14ac:dyDescent="0.2">
      <c r="R90" s="725"/>
      <c r="S90" s="724"/>
      <c r="T90" s="402"/>
      <c r="U90" s="402"/>
      <c r="W90" s="402"/>
      <c r="X90" s="402"/>
    </row>
    <row r="91" spans="18:24" ht="15.6" x14ac:dyDescent="0.2">
      <c r="R91" s="725"/>
      <c r="S91" s="724"/>
      <c r="T91" s="402"/>
      <c r="U91" s="402"/>
      <c r="W91" s="402"/>
      <c r="X91" s="402"/>
    </row>
    <row r="92" spans="18:24" ht="15.6" x14ac:dyDescent="0.2">
      <c r="R92" s="725"/>
      <c r="S92" s="724"/>
      <c r="T92" s="402"/>
      <c r="U92" s="402"/>
      <c r="W92" s="402"/>
      <c r="X92" s="402"/>
    </row>
    <row r="93" spans="18:24" ht="15.6" x14ac:dyDescent="0.2">
      <c r="R93" s="725"/>
      <c r="S93" s="724"/>
      <c r="T93" s="402"/>
      <c r="U93" s="402"/>
      <c r="W93" s="402"/>
      <c r="X93" s="402"/>
    </row>
    <row r="94" spans="18:24" ht="15.6" x14ac:dyDescent="0.2">
      <c r="R94" s="725"/>
      <c r="S94" s="724"/>
      <c r="T94" s="402"/>
      <c r="U94" s="402"/>
      <c r="W94" s="402"/>
      <c r="X94" s="402"/>
    </row>
    <row r="95" spans="18:24" ht="15.6" x14ac:dyDescent="0.2">
      <c r="R95" s="725"/>
      <c r="S95" s="724"/>
      <c r="T95" s="402"/>
      <c r="U95" s="402"/>
      <c r="W95" s="402"/>
      <c r="X95" s="402"/>
    </row>
    <row r="96" spans="18:24" ht="15.6" x14ac:dyDescent="0.2">
      <c r="R96" s="725"/>
      <c r="S96" s="726"/>
      <c r="T96" s="402"/>
      <c r="U96" s="402"/>
      <c r="W96" s="402"/>
      <c r="X96" s="402"/>
    </row>
    <row r="97" spans="18:24" ht="15.6" x14ac:dyDescent="0.2">
      <c r="R97" s="725"/>
      <c r="S97" s="724"/>
      <c r="T97" s="402"/>
      <c r="U97" s="402"/>
      <c r="W97" s="402"/>
      <c r="X97" s="402"/>
    </row>
    <row r="98" spans="18:24" ht="15.6" x14ac:dyDescent="0.2">
      <c r="R98" s="725"/>
      <c r="S98" s="724"/>
      <c r="T98" s="402"/>
      <c r="U98" s="402"/>
      <c r="W98" s="402"/>
      <c r="X98" s="402"/>
    </row>
    <row r="99" spans="18:24" ht="15.6" x14ac:dyDescent="0.2">
      <c r="R99" s="725"/>
      <c r="S99" s="724"/>
      <c r="T99" s="402"/>
      <c r="U99" s="402"/>
      <c r="W99" s="402"/>
      <c r="X99" s="402"/>
    </row>
    <row r="100" spans="18:24" ht="15.6" x14ac:dyDescent="0.2">
      <c r="R100" s="725"/>
      <c r="S100" s="724"/>
      <c r="T100" s="402"/>
      <c r="U100" s="402"/>
      <c r="W100" s="402"/>
      <c r="X100" s="402"/>
    </row>
    <row r="101" spans="18:24" ht="15.6" x14ac:dyDescent="0.2">
      <c r="R101" s="725"/>
      <c r="S101" s="724"/>
      <c r="T101" s="402"/>
      <c r="U101" s="402"/>
      <c r="W101" s="402"/>
      <c r="X101" s="402"/>
    </row>
    <row r="102" spans="18:24" ht="15.6" x14ac:dyDescent="0.2">
      <c r="R102" s="725"/>
      <c r="S102" s="724"/>
      <c r="T102" s="402"/>
      <c r="U102" s="402"/>
      <c r="W102" s="402"/>
      <c r="X102" s="402"/>
    </row>
    <row r="103" spans="18:24" ht="15.6" x14ac:dyDescent="0.2">
      <c r="R103" s="725"/>
      <c r="S103" s="724"/>
      <c r="T103" s="402"/>
      <c r="U103" s="402"/>
      <c r="W103" s="402"/>
      <c r="X103" s="402"/>
    </row>
    <row r="104" spans="18:24" ht="15.6" x14ac:dyDescent="0.2">
      <c r="R104" s="725"/>
      <c r="S104" s="724"/>
      <c r="T104" s="402"/>
      <c r="U104" s="402"/>
      <c r="W104" s="402"/>
      <c r="X104" s="402"/>
    </row>
    <row r="105" spans="18:24" ht="15.6" x14ac:dyDescent="0.2">
      <c r="R105" s="725"/>
      <c r="S105" s="724"/>
      <c r="T105" s="402"/>
      <c r="U105" s="402"/>
      <c r="W105" s="402"/>
      <c r="X105" s="402"/>
    </row>
    <row r="106" spans="18:24" ht="15.6" x14ac:dyDescent="0.2">
      <c r="R106" s="725"/>
      <c r="S106" s="724"/>
      <c r="T106" s="402"/>
      <c r="U106" s="402"/>
      <c r="W106" s="402"/>
      <c r="X106" s="402"/>
    </row>
    <row r="107" spans="18:24" ht="15.6" x14ac:dyDescent="0.2">
      <c r="R107" s="725"/>
      <c r="S107" s="724"/>
      <c r="T107" s="402"/>
      <c r="U107" s="402"/>
      <c r="W107" s="402"/>
      <c r="X107" s="402"/>
    </row>
    <row r="108" spans="18:24" ht="15.6" x14ac:dyDescent="0.2">
      <c r="R108" s="727"/>
      <c r="S108" s="728"/>
      <c r="T108" s="729"/>
      <c r="U108" s="729"/>
      <c r="W108" s="729"/>
      <c r="X108" s="729"/>
    </row>
    <row r="109" spans="18:24" ht="15.6" x14ac:dyDescent="0.2">
      <c r="R109" s="725"/>
      <c r="S109" s="724"/>
      <c r="T109" s="402"/>
      <c r="U109" s="402"/>
      <c r="W109" s="402"/>
      <c r="X109" s="402"/>
    </row>
    <row r="110" spans="18:24" ht="15.6" x14ac:dyDescent="0.2">
      <c r="R110" s="725"/>
      <c r="S110" s="724"/>
      <c r="T110" s="402"/>
      <c r="U110" s="402"/>
      <c r="W110" s="402"/>
      <c r="X110" s="402"/>
    </row>
    <row r="111" spans="18:24" ht="15.6" x14ac:dyDescent="0.2">
      <c r="R111" s="725"/>
      <c r="S111" s="724"/>
      <c r="T111" s="402"/>
      <c r="U111" s="402"/>
      <c r="W111" s="402"/>
      <c r="X111" s="402"/>
    </row>
    <row r="136" spans="2:24" ht="27" customHeight="1" x14ac:dyDescent="0.2">
      <c r="B136" s="1575"/>
      <c r="C136" s="1575"/>
      <c r="D136" s="1575"/>
      <c r="E136" s="1575"/>
      <c r="F136" s="1575"/>
      <c r="G136" s="1575"/>
      <c r="H136" s="1575"/>
      <c r="I136" s="1575"/>
      <c r="J136" s="1575"/>
      <c r="K136" s="1575"/>
      <c r="L136" s="1575"/>
      <c r="M136" s="1575"/>
      <c r="N136" s="1575"/>
      <c r="O136" s="1575"/>
      <c r="P136" s="1575"/>
      <c r="Q136" s="1575"/>
      <c r="R136" s="1575"/>
      <c r="S136" s="1575"/>
      <c r="T136" s="1575"/>
      <c r="U136" s="1575"/>
      <c r="V136" s="1575"/>
      <c r="W136" s="1575"/>
      <c r="X136" s="1575"/>
    </row>
  </sheetData>
  <mergeCells count="25">
    <mergeCell ref="W3:X3"/>
    <mergeCell ref="M1:Q2"/>
    <mergeCell ref="B136:K136"/>
    <mergeCell ref="L136:Q136"/>
    <mergeCell ref="N4:O4"/>
    <mergeCell ref="P4:Q4"/>
    <mergeCell ref="R4:S4"/>
    <mergeCell ref="R136:X136"/>
    <mergeCell ref="L71:M72"/>
    <mergeCell ref="N71:Q72"/>
    <mergeCell ref="N73:Q74"/>
    <mergeCell ref="N75:Q76"/>
    <mergeCell ref="T4:U4"/>
    <mergeCell ref="W4:W5"/>
    <mergeCell ref="X4:X5"/>
    <mergeCell ref="B4:D4"/>
    <mergeCell ref="B3:D3"/>
    <mergeCell ref="L3:M3"/>
    <mergeCell ref="N3:Q3"/>
    <mergeCell ref="R3:U3"/>
    <mergeCell ref="J4:K4"/>
    <mergeCell ref="L4:L5"/>
    <mergeCell ref="M4:M5"/>
    <mergeCell ref="F4:G4"/>
    <mergeCell ref="H4:I4"/>
  </mergeCells>
  <phoneticPr fontId="2"/>
  <dataValidations count="1">
    <dataValidation imeMode="disabled" allowBlank="1" showInputMessage="1" showErrorMessage="1" sqref="V16:X68 U16:U28 U30:U68 U7:X15 B7:T68" xr:uid="{AB49B0A1-14DD-41CE-9C91-F08BC28522DA}"/>
  </dataValidations>
  <pageMargins left="0.74803149606299213" right="0.23622047244094491" top="0.98425196850393704" bottom="0.39370078740157483" header="0.59055118110236227" footer="0.31496062992125984"/>
  <pageSetup paperSize="9" scale="63" firstPageNumber="12" fitToWidth="3" orientation="portrait" r:id="rId1"/>
  <headerFooter alignWithMargins="0">
    <oddHeader>&amp;L&amp;"ＭＳ Ｐゴシック,太字"&amp;16 ５　産　業</oddHeader>
  </headerFooter>
  <colBreaks count="1" manualBreakCount="1">
    <brk id="13" min="2" max="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40E8E-D8B5-458E-A62D-4559763405DF}">
  <dimension ref="A1:AK132"/>
  <sheetViews>
    <sheetView showGridLines="0" view="pageBreakPreview" zoomScale="70" zoomScaleNormal="100" zoomScaleSheetLayoutView="70" workbookViewId="0">
      <pane xSplit="1" ySplit="6" topLeftCell="B80" activePane="bottomRight" state="frozen"/>
      <selection activeCell="E12" sqref="E12"/>
      <selection pane="topRight" activeCell="E12" sqref="E12"/>
      <selection pane="bottomLeft" activeCell="E12" sqref="E12"/>
      <selection pane="bottomRight" activeCell="AH50" sqref="AH50"/>
    </sheetView>
  </sheetViews>
  <sheetFormatPr defaultColWidth="8.88671875" defaultRowHeight="13.2" x14ac:dyDescent="0.2"/>
  <cols>
    <col min="1" max="1" width="12.44140625" customWidth="1"/>
    <col min="2" max="2" width="9.77734375" customWidth="1"/>
    <col min="3" max="3" width="12.109375" customWidth="1"/>
    <col min="4" max="5" width="9.6640625" customWidth="1"/>
    <col min="6" max="6" width="10" customWidth="1"/>
    <col min="7" max="7" width="1.44140625" customWidth="1"/>
    <col min="8" max="8" width="10.44140625" customWidth="1"/>
    <col min="9" max="9" width="10.109375" customWidth="1"/>
    <col min="10" max="10" width="1.88671875" customWidth="1"/>
    <col min="11" max="11" width="5.33203125" customWidth="1"/>
    <col min="12" max="12" width="11.88671875" customWidth="1"/>
    <col min="13" max="13" width="7.44140625" customWidth="1"/>
    <col min="14" max="14" width="12.33203125" customWidth="1"/>
    <col min="15" max="15" width="6.88671875" customWidth="1"/>
    <col min="16" max="16" width="7.88671875" customWidth="1"/>
    <col min="17" max="17" width="1.44140625" customWidth="1"/>
    <col min="18" max="18" width="10.6640625" customWidth="1"/>
    <col min="19" max="19" width="6.6640625" customWidth="1"/>
    <col min="20" max="20" width="15.6640625" customWidth="1"/>
    <col min="21" max="21" width="6.6640625" customWidth="1"/>
    <col min="22" max="22" width="7.44140625" customWidth="1"/>
    <col min="23" max="23" width="8.21875" customWidth="1"/>
    <col min="24" max="24" width="8.33203125" customWidth="1"/>
    <col min="25" max="25" width="8.21875" customWidth="1"/>
    <col min="26" max="26" width="2.44140625" customWidth="1"/>
    <col min="27" max="37" width="10.6640625" customWidth="1"/>
  </cols>
  <sheetData>
    <row r="1" spans="1:37" ht="19.2" x14ac:dyDescent="0.2">
      <c r="A1" s="730" t="s">
        <v>430</v>
      </c>
      <c r="B1" s="730"/>
      <c r="E1" s="38"/>
    </row>
    <row r="2" spans="1:37" ht="18.75" customHeight="1" x14ac:dyDescent="0.2">
      <c r="B2" s="333" t="s">
        <v>431</v>
      </c>
      <c r="C2" s="731"/>
      <c r="D2" s="731"/>
      <c r="E2" s="731"/>
      <c r="F2" s="731"/>
      <c r="G2" s="731"/>
      <c r="H2" s="1628" t="s">
        <v>432</v>
      </c>
      <c r="I2" s="1629"/>
      <c r="J2" s="731"/>
      <c r="K2" s="333" t="s">
        <v>433</v>
      </c>
      <c r="L2" s="731"/>
      <c r="M2" s="731"/>
      <c r="N2" s="333"/>
      <c r="P2" s="731"/>
      <c r="Q2" s="731"/>
      <c r="R2" s="1628" t="s">
        <v>434</v>
      </c>
      <c r="S2" s="1629"/>
      <c r="V2" s="731"/>
      <c r="W2" s="731"/>
      <c r="X2" s="731"/>
      <c r="Y2" s="731"/>
      <c r="Z2" s="731"/>
      <c r="AA2" s="339" t="s">
        <v>435</v>
      </c>
      <c r="AB2" s="338"/>
    </row>
    <row r="3" spans="1:37" ht="17.25" customHeight="1" x14ac:dyDescent="0.2">
      <c r="A3" s="61" t="s">
        <v>436</v>
      </c>
      <c r="B3" s="1630" t="s">
        <v>437</v>
      </c>
      <c r="C3" s="1633" t="s">
        <v>438</v>
      </c>
      <c r="D3" s="1636" t="s">
        <v>439</v>
      </c>
      <c r="E3" s="1636"/>
      <c r="F3" s="1637"/>
      <c r="G3" s="732"/>
      <c r="H3" s="1638" t="s">
        <v>440</v>
      </c>
      <c r="I3" s="1478" t="s">
        <v>441</v>
      </c>
      <c r="J3" s="346"/>
      <c r="K3" s="1464" t="s">
        <v>442</v>
      </c>
      <c r="L3" s="1641" t="s">
        <v>443</v>
      </c>
      <c r="M3" s="1642"/>
      <c r="N3" s="290" t="s">
        <v>444</v>
      </c>
      <c r="O3" s="291"/>
      <c r="P3" s="1643" t="s">
        <v>59</v>
      </c>
      <c r="Q3" s="350"/>
      <c r="R3" s="290" t="s">
        <v>445</v>
      </c>
      <c r="S3" s="733"/>
      <c r="T3" s="291" t="s">
        <v>444</v>
      </c>
      <c r="U3" s="291"/>
      <c r="V3" s="1587" t="s">
        <v>446</v>
      </c>
      <c r="W3" s="1587" t="s">
        <v>447</v>
      </c>
      <c r="X3" s="1529" t="s">
        <v>448</v>
      </c>
      <c r="Y3" s="1643" t="s">
        <v>449</v>
      </c>
      <c r="Z3" s="734"/>
      <c r="AA3" s="1669" t="s">
        <v>450</v>
      </c>
      <c r="AB3" s="1670"/>
      <c r="AC3" s="1552" t="s">
        <v>451</v>
      </c>
      <c r="AD3" s="1671"/>
      <c r="AE3" s="1671"/>
      <c r="AF3" s="1671"/>
      <c r="AG3" s="1671"/>
      <c r="AH3" s="1671"/>
      <c r="AI3" s="1672"/>
      <c r="AJ3" s="1497" t="s">
        <v>452</v>
      </c>
      <c r="AK3" s="1645"/>
    </row>
    <row r="4" spans="1:37" ht="17.25" customHeight="1" x14ac:dyDescent="0.2">
      <c r="A4" s="69"/>
      <c r="B4" s="1631"/>
      <c r="C4" s="1634"/>
      <c r="D4" s="1650" t="s">
        <v>453</v>
      </c>
      <c r="E4" s="1650" t="s">
        <v>454</v>
      </c>
      <c r="F4" s="1652" t="s">
        <v>455</v>
      </c>
      <c r="G4" s="732"/>
      <c r="H4" s="1639"/>
      <c r="I4" s="1479"/>
      <c r="J4" s="121"/>
      <c r="K4" s="1451"/>
      <c r="L4" s="363"/>
      <c r="M4" s="1654" t="s">
        <v>456</v>
      </c>
      <c r="N4" s="121"/>
      <c r="O4" s="1652" t="s">
        <v>457</v>
      </c>
      <c r="P4" s="1644"/>
      <c r="Q4" s="350"/>
      <c r="R4" s="121"/>
      <c r="S4" s="1657" t="s">
        <v>456</v>
      </c>
      <c r="T4" s="373"/>
      <c r="U4" s="1652" t="s">
        <v>457</v>
      </c>
      <c r="V4" s="1663"/>
      <c r="W4" s="1663"/>
      <c r="X4" s="1665"/>
      <c r="Y4" s="1667"/>
      <c r="Z4" s="603"/>
      <c r="AA4" s="1659" t="s">
        <v>458</v>
      </c>
      <c r="AB4" s="1661" t="s">
        <v>459</v>
      </c>
      <c r="AC4" s="735"/>
      <c r="AD4" s="1578" t="s">
        <v>460</v>
      </c>
      <c r="AE4" s="1650" t="s">
        <v>461</v>
      </c>
      <c r="AF4" s="1578" t="s">
        <v>462</v>
      </c>
      <c r="AG4" s="1673" t="s">
        <v>463</v>
      </c>
      <c r="AH4" s="1673" t="s">
        <v>464</v>
      </c>
      <c r="AI4" s="1675" t="s">
        <v>465</v>
      </c>
      <c r="AJ4" s="1646"/>
      <c r="AK4" s="1647"/>
    </row>
    <row r="5" spans="1:37" ht="17.25" customHeight="1" x14ac:dyDescent="0.2">
      <c r="A5" s="576"/>
      <c r="B5" s="1632"/>
      <c r="C5" s="1635"/>
      <c r="D5" s="1651"/>
      <c r="E5" s="1651"/>
      <c r="F5" s="1653"/>
      <c r="G5" s="732"/>
      <c r="H5" s="1640"/>
      <c r="I5" s="1569"/>
      <c r="J5" s="736"/>
      <c r="K5" s="1466"/>
      <c r="L5" s="363"/>
      <c r="M5" s="1655"/>
      <c r="N5" s="121"/>
      <c r="O5" s="1656"/>
      <c r="P5" s="1644"/>
      <c r="Q5" s="350"/>
      <c r="R5" s="121"/>
      <c r="S5" s="1658"/>
      <c r="T5" s="737"/>
      <c r="U5" s="1656"/>
      <c r="V5" s="1664"/>
      <c r="W5" s="1664"/>
      <c r="X5" s="1666"/>
      <c r="Y5" s="1668"/>
      <c r="Z5" s="603"/>
      <c r="AA5" s="1660"/>
      <c r="AB5" s="1662"/>
      <c r="AC5" s="735"/>
      <c r="AD5" s="1496"/>
      <c r="AE5" s="1635"/>
      <c r="AF5" s="1521"/>
      <c r="AG5" s="1674"/>
      <c r="AH5" s="1674"/>
      <c r="AI5" s="1676"/>
      <c r="AJ5" s="1648"/>
      <c r="AK5" s="1649"/>
    </row>
    <row r="6" spans="1:37" ht="17.25" customHeight="1" x14ac:dyDescent="0.2">
      <c r="A6" s="91" t="s">
        <v>466</v>
      </c>
      <c r="B6" s="93"/>
      <c r="C6" s="94" t="s">
        <v>467</v>
      </c>
      <c r="D6" s="94" t="s">
        <v>467</v>
      </c>
      <c r="E6" s="94" t="s">
        <v>467</v>
      </c>
      <c r="F6" s="95" t="s">
        <v>467</v>
      </c>
      <c r="G6" s="738"/>
      <c r="H6" s="92" t="s">
        <v>141</v>
      </c>
      <c r="I6" s="95" t="s">
        <v>468</v>
      </c>
      <c r="J6" s="388"/>
      <c r="K6" s="92" t="s">
        <v>141</v>
      </c>
      <c r="L6" s="94" t="s">
        <v>129</v>
      </c>
      <c r="M6" s="95" t="s">
        <v>131</v>
      </c>
      <c r="N6" s="92" t="s">
        <v>469</v>
      </c>
      <c r="O6" s="96" t="s">
        <v>131</v>
      </c>
      <c r="P6" s="95" t="s">
        <v>131</v>
      </c>
      <c r="Q6" s="391"/>
      <c r="R6" s="92" t="s">
        <v>129</v>
      </c>
      <c r="S6" s="94" t="s">
        <v>131</v>
      </c>
      <c r="T6" s="93" t="s">
        <v>469</v>
      </c>
      <c r="U6" s="96" t="s">
        <v>131</v>
      </c>
      <c r="V6" s="96" t="s">
        <v>469</v>
      </c>
      <c r="W6" s="739" t="s">
        <v>131</v>
      </c>
      <c r="X6" s="299" t="s">
        <v>131</v>
      </c>
      <c r="Y6" s="300" t="s">
        <v>131</v>
      </c>
      <c r="Z6" s="391"/>
      <c r="AA6" s="92" t="s">
        <v>470</v>
      </c>
      <c r="AB6" s="94" t="s">
        <v>468</v>
      </c>
      <c r="AC6" s="94" t="s">
        <v>470</v>
      </c>
      <c r="AD6" s="94" t="s">
        <v>470</v>
      </c>
      <c r="AE6" s="94" t="s">
        <v>470</v>
      </c>
      <c r="AF6" s="94" t="s">
        <v>470</v>
      </c>
      <c r="AG6" s="94" t="s">
        <v>470</v>
      </c>
      <c r="AH6" s="94" t="s">
        <v>470</v>
      </c>
      <c r="AI6" s="94" t="s">
        <v>470</v>
      </c>
      <c r="AJ6" s="94" t="s">
        <v>141</v>
      </c>
      <c r="AK6" s="95" t="s">
        <v>470</v>
      </c>
    </row>
    <row r="7" spans="1:37" s="1078" customFormat="1" ht="15.75" customHeight="1" x14ac:dyDescent="0.2">
      <c r="A7" s="1093" t="s">
        <v>142</v>
      </c>
      <c r="B7" s="1094">
        <v>4565</v>
      </c>
      <c r="C7" s="1027">
        <v>1628</v>
      </c>
      <c r="D7" s="1027">
        <v>118</v>
      </c>
      <c r="E7" s="1027">
        <v>127</v>
      </c>
      <c r="F7" s="1095">
        <v>1383</v>
      </c>
      <c r="G7" s="1096"/>
      <c r="H7" s="1038">
        <v>377</v>
      </c>
      <c r="I7" s="1092">
        <v>23.8</v>
      </c>
      <c r="J7" s="1097"/>
      <c r="K7" s="1098">
        <v>2</v>
      </c>
      <c r="L7" s="1099">
        <v>229683</v>
      </c>
      <c r="M7" s="1092">
        <v>90.7</v>
      </c>
      <c r="N7" s="1076">
        <v>26712764</v>
      </c>
      <c r="O7" s="1091">
        <v>78.900000000000006</v>
      </c>
      <c r="P7" s="1100">
        <v>92</v>
      </c>
      <c r="Q7" s="1097"/>
      <c r="R7" s="1076">
        <v>253048</v>
      </c>
      <c r="S7" s="1101">
        <v>99.9</v>
      </c>
      <c r="T7" s="1102">
        <v>28254733</v>
      </c>
      <c r="U7" s="1101">
        <v>85.1</v>
      </c>
      <c r="V7" s="1091">
        <v>131.19999999999999</v>
      </c>
      <c r="W7" s="1091">
        <v>8.1</v>
      </c>
      <c r="X7" s="1091">
        <v>15.6</v>
      </c>
      <c r="Y7" s="1092">
        <v>8.6999999999999993</v>
      </c>
      <c r="Z7" s="1097"/>
      <c r="AA7" s="1103">
        <v>1475</v>
      </c>
      <c r="AB7" s="1104">
        <v>85.6</v>
      </c>
      <c r="AC7" s="1023">
        <v>7912</v>
      </c>
      <c r="AD7" s="1090">
        <v>5927</v>
      </c>
      <c r="AE7" s="1090">
        <v>0</v>
      </c>
      <c r="AF7" s="1090">
        <v>1795</v>
      </c>
      <c r="AG7" s="1090">
        <v>0</v>
      </c>
      <c r="AH7" s="1090">
        <v>220</v>
      </c>
      <c r="AI7" s="1090">
        <v>0</v>
      </c>
      <c r="AJ7" s="1090">
        <v>43</v>
      </c>
      <c r="AK7" s="1105">
        <v>1448</v>
      </c>
    </row>
    <row r="8" spans="1:37" s="1078" customFormat="1" ht="15.75" customHeight="1" x14ac:dyDescent="0.2">
      <c r="A8" s="1106" t="s">
        <v>144</v>
      </c>
      <c r="B8" s="1107">
        <v>6095</v>
      </c>
      <c r="C8" s="1040">
        <v>2586</v>
      </c>
      <c r="D8" s="1040">
        <v>77</v>
      </c>
      <c r="E8" s="1040">
        <v>216</v>
      </c>
      <c r="F8" s="1108">
        <v>2293</v>
      </c>
      <c r="G8" s="1096"/>
      <c r="H8" s="1039">
        <v>390</v>
      </c>
      <c r="I8" s="1109">
        <v>21.7</v>
      </c>
      <c r="J8" s="1097"/>
      <c r="K8" s="1039">
        <v>1</v>
      </c>
      <c r="L8" s="1040">
        <v>322516</v>
      </c>
      <c r="M8" s="1109">
        <v>97</v>
      </c>
      <c r="N8" s="1110">
        <v>31537622</v>
      </c>
      <c r="O8" s="1111">
        <v>74.3</v>
      </c>
      <c r="P8" s="1109">
        <v>98.2</v>
      </c>
      <c r="Q8" s="1097"/>
      <c r="R8" s="1110">
        <v>316198</v>
      </c>
      <c r="S8" s="1112">
        <v>95.5</v>
      </c>
      <c r="T8" s="1113">
        <v>30073468</v>
      </c>
      <c r="U8" s="1112">
        <v>87.9</v>
      </c>
      <c r="V8" s="1111">
        <v>95.1</v>
      </c>
      <c r="W8" s="1111">
        <v>8.5</v>
      </c>
      <c r="X8" s="1111">
        <v>0</v>
      </c>
      <c r="Y8" s="1109">
        <v>21.9</v>
      </c>
      <c r="Z8" s="1097"/>
      <c r="AA8" s="1114">
        <v>1626</v>
      </c>
      <c r="AB8" s="1115">
        <v>98.5</v>
      </c>
      <c r="AC8" s="1049">
        <v>6082</v>
      </c>
      <c r="AD8" s="1049">
        <v>4893</v>
      </c>
      <c r="AE8" s="1049" t="s">
        <v>143</v>
      </c>
      <c r="AF8" s="1049">
        <v>1189</v>
      </c>
      <c r="AG8" s="1049" t="s">
        <v>143</v>
      </c>
      <c r="AH8" s="1049" t="s">
        <v>143</v>
      </c>
      <c r="AI8" s="1049" t="s">
        <v>143</v>
      </c>
      <c r="AJ8" s="1049">
        <v>20</v>
      </c>
      <c r="AK8" s="1116">
        <v>787</v>
      </c>
    </row>
    <row r="9" spans="1:37" s="1078" customFormat="1" ht="15.75" customHeight="1" x14ac:dyDescent="0.2">
      <c r="A9" s="1093" t="s">
        <v>145</v>
      </c>
      <c r="B9" s="1094">
        <v>6553</v>
      </c>
      <c r="C9" s="1027">
        <v>2372</v>
      </c>
      <c r="D9" s="1027">
        <v>243</v>
      </c>
      <c r="E9" s="1027">
        <v>237</v>
      </c>
      <c r="F9" s="1117">
        <v>1892</v>
      </c>
      <c r="G9" s="1096"/>
      <c r="H9" s="1038">
        <v>145</v>
      </c>
      <c r="I9" s="1092">
        <v>16.100000000000001</v>
      </c>
      <c r="J9" s="1097"/>
      <c r="K9" s="1038">
        <v>2</v>
      </c>
      <c r="L9" s="1027">
        <v>226381</v>
      </c>
      <c r="M9" s="1092">
        <v>81.2</v>
      </c>
      <c r="N9" s="1076">
        <v>21955378</v>
      </c>
      <c r="O9" s="1091">
        <v>73.78</v>
      </c>
      <c r="P9" s="1092">
        <v>86.7</v>
      </c>
      <c r="Q9" s="1097"/>
      <c r="R9" s="1076">
        <v>278076</v>
      </c>
      <c r="S9" s="1101">
        <v>99.82</v>
      </c>
      <c r="T9" s="1118">
        <v>28261567</v>
      </c>
      <c r="U9" s="1101">
        <v>88.35</v>
      </c>
      <c r="V9" s="1091">
        <v>101.6</v>
      </c>
      <c r="W9" s="1091">
        <v>15.3</v>
      </c>
      <c r="X9" s="1091">
        <v>32.4</v>
      </c>
      <c r="Y9" s="1092">
        <v>77.400000000000006</v>
      </c>
      <c r="Z9" s="1097"/>
      <c r="AA9" s="1103">
        <v>1825</v>
      </c>
      <c r="AB9" s="1104">
        <v>89</v>
      </c>
      <c r="AC9" s="1090">
        <v>4739</v>
      </c>
      <c r="AD9" s="1090">
        <v>2688</v>
      </c>
      <c r="AE9" s="1090" t="s">
        <v>143</v>
      </c>
      <c r="AF9" s="1090">
        <v>2051</v>
      </c>
      <c r="AG9" s="1090" t="s">
        <v>143</v>
      </c>
      <c r="AH9" s="1090" t="s">
        <v>143</v>
      </c>
      <c r="AI9" s="1090" t="s">
        <v>143</v>
      </c>
      <c r="AJ9" s="1090">
        <v>16</v>
      </c>
      <c r="AK9" s="1105">
        <v>490</v>
      </c>
    </row>
    <row r="10" spans="1:37" s="1078" customFormat="1" ht="15.75" customHeight="1" x14ac:dyDescent="0.2">
      <c r="A10" s="1106" t="s">
        <v>147</v>
      </c>
      <c r="B10" s="1119">
        <f>4+18+3505+64</f>
        <v>3591</v>
      </c>
      <c r="C10" s="1032">
        <f>SUM(D10:F10)</f>
        <v>1784</v>
      </c>
      <c r="D10" s="1032">
        <v>75</v>
      </c>
      <c r="E10" s="1032">
        <v>150</v>
      </c>
      <c r="F10" s="1034">
        <v>1559</v>
      </c>
      <c r="G10" s="1096"/>
      <c r="H10" s="1036">
        <v>176</v>
      </c>
      <c r="I10" s="1120">
        <v>10.75</v>
      </c>
      <c r="J10" s="1097"/>
      <c r="K10" s="1036">
        <v>2</v>
      </c>
      <c r="L10" s="1032">
        <v>144214</v>
      </c>
      <c r="M10" s="1120">
        <v>63.7</v>
      </c>
      <c r="N10" s="1121">
        <v>12740145</v>
      </c>
      <c r="O10" s="1122">
        <v>71.400000000000006</v>
      </c>
      <c r="P10" s="1120">
        <v>77.599999999999994</v>
      </c>
      <c r="Q10" s="1097"/>
      <c r="R10" s="1121">
        <v>224607</v>
      </c>
      <c r="S10" s="1123">
        <v>99.2</v>
      </c>
      <c r="T10" s="1124">
        <v>21381078</v>
      </c>
      <c r="U10" s="1123">
        <v>90.3</v>
      </c>
      <c r="V10" s="1122">
        <v>95.2</v>
      </c>
      <c r="W10" s="1122">
        <v>43.7</v>
      </c>
      <c r="X10" s="1122">
        <v>42.1</v>
      </c>
      <c r="Y10" s="1120">
        <v>49</v>
      </c>
      <c r="Z10" s="1097"/>
      <c r="AA10" s="1125">
        <v>1312</v>
      </c>
      <c r="AB10" s="1025">
        <v>96.091999999999999</v>
      </c>
      <c r="AC10" s="1058">
        <v>4390</v>
      </c>
      <c r="AD10" s="1058">
        <v>2993</v>
      </c>
      <c r="AE10" s="1058" t="s">
        <v>143</v>
      </c>
      <c r="AF10" s="1058">
        <v>1397</v>
      </c>
      <c r="AG10" s="1058" t="s">
        <v>143</v>
      </c>
      <c r="AH10" s="1058" t="s">
        <v>143</v>
      </c>
      <c r="AI10" s="1058" t="s">
        <v>143</v>
      </c>
      <c r="AJ10" s="1058">
        <v>16</v>
      </c>
      <c r="AK10" s="1073">
        <v>494</v>
      </c>
    </row>
    <row r="11" spans="1:37" s="1078" customFormat="1" ht="15.75" customHeight="1" x14ac:dyDescent="0.2">
      <c r="A11" s="1093" t="s">
        <v>148</v>
      </c>
      <c r="B11" s="1126">
        <v>7993</v>
      </c>
      <c r="C11" s="1028">
        <v>2393</v>
      </c>
      <c r="D11" s="1028">
        <v>126</v>
      </c>
      <c r="E11" s="1028">
        <v>149</v>
      </c>
      <c r="F11" s="1030">
        <v>2118</v>
      </c>
      <c r="G11" s="1096"/>
      <c r="H11" s="1037">
        <v>476</v>
      </c>
      <c r="I11" s="1127">
        <v>10.7</v>
      </c>
      <c r="J11" s="1097"/>
      <c r="K11" s="1037" t="s">
        <v>143</v>
      </c>
      <c r="L11" s="1028">
        <v>257766</v>
      </c>
      <c r="M11" s="1127">
        <v>89.71</v>
      </c>
      <c r="N11" s="1128">
        <v>27956345</v>
      </c>
      <c r="O11" s="1129">
        <v>87</v>
      </c>
      <c r="P11" s="1127">
        <v>96.2</v>
      </c>
      <c r="Q11" s="1097"/>
      <c r="R11" s="1128">
        <v>282143</v>
      </c>
      <c r="S11" s="1130">
        <v>98.2</v>
      </c>
      <c r="T11" s="1131">
        <v>28307167</v>
      </c>
      <c r="U11" s="1130">
        <v>94.8</v>
      </c>
      <c r="V11" s="1129">
        <v>100.32</v>
      </c>
      <c r="W11" s="1129">
        <v>28.1</v>
      </c>
      <c r="X11" s="1129">
        <v>56.1</v>
      </c>
      <c r="Y11" s="1127">
        <v>69.900000000000006</v>
      </c>
      <c r="Z11" s="1097"/>
      <c r="AA11" s="1132">
        <v>2070</v>
      </c>
      <c r="AB11" s="1016">
        <v>85.6</v>
      </c>
      <c r="AC11" s="1023">
        <v>5494</v>
      </c>
      <c r="AD11" s="1023">
        <v>2467</v>
      </c>
      <c r="AE11" s="1023" t="s">
        <v>143</v>
      </c>
      <c r="AF11" s="1023">
        <v>3027</v>
      </c>
      <c r="AG11" s="1023" t="s">
        <v>143</v>
      </c>
      <c r="AH11" s="1023" t="s">
        <v>143</v>
      </c>
      <c r="AI11" s="1023" t="s">
        <v>143</v>
      </c>
      <c r="AJ11" s="1023">
        <v>30</v>
      </c>
      <c r="AK11" s="1074">
        <v>840</v>
      </c>
    </row>
    <row r="12" spans="1:37" s="1078" customFormat="1" ht="15.75" customHeight="1" x14ac:dyDescent="0.2">
      <c r="A12" s="1106" t="s">
        <v>149</v>
      </c>
      <c r="B12" s="1119">
        <v>7573</v>
      </c>
      <c r="C12" s="1032">
        <v>2404</v>
      </c>
      <c r="D12" s="1032">
        <v>91</v>
      </c>
      <c r="E12" s="1032">
        <v>321</v>
      </c>
      <c r="F12" s="1034">
        <v>1992</v>
      </c>
      <c r="G12" s="1096"/>
      <c r="H12" s="1036">
        <v>208</v>
      </c>
      <c r="I12" s="1120">
        <v>19.98</v>
      </c>
      <c r="J12" s="1097"/>
      <c r="K12" s="1133">
        <v>4</v>
      </c>
      <c r="L12" s="1134">
        <v>287422</v>
      </c>
      <c r="M12" s="1135">
        <v>93.8</v>
      </c>
      <c r="N12" s="1136">
        <v>27959606</v>
      </c>
      <c r="O12" s="1137">
        <v>91.3</v>
      </c>
      <c r="P12" s="1135">
        <v>98.6</v>
      </c>
      <c r="Q12" s="1097"/>
      <c r="R12" s="1136">
        <v>302165</v>
      </c>
      <c r="S12" s="1138">
        <v>99.4</v>
      </c>
      <c r="T12" s="1139">
        <v>32216556</v>
      </c>
      <c r="U12" s="1138">
        <v>91.2</v>
      </c>
      <c r="V12" s="1137">
        <v>106.6</v>
      </c>
      <c r="W12" s="1137">
        <v>26.6</v>
      </c>
      <c r="X12" s="1137">
        <v>20.100000000000001</v>
      </c>
      <c r="Y12" s="1135">
        <v>48.5</v>
      </c>
      <c r="Z12" s="1097"/>
      <c r="AA12" s="1125">
        <v>1605</v>
      </c>
      <c r="AB12" s="1025">
        <v>97.5</v>
      </c>
      <c r="AC12" s="1058">
        <v>4293</v>
      </c>
      <c r="AD12" s="1058">
        <v>2384</v>
      </c>
      <c r="AE12" s="1046" t="s">
        <v>143</v>
      </c>
      <c r="AF12" s="1058">
        <v>1909</v>
      </c>
      <c r="AG12" s="1046" t="s">
        <v>143</v>
      </c>
      <c r="AH12" s="1046" t="s">
        <v>143</v>
      </c>
      <c r="AI12" s="1058" t="s">
        <v>143</v>
      </c>
      <c r="AJ12" s="1058">
        <v>29</v>
      </c>
      <c r="AK12" s="1073">
        <v>746</v>
      </c>
    </row>
    <row r="13" spans="1:37" s="1078" customFormat="1" ht="15.75" customHeight="1" x14ac:dyDescent="0.2">
      <c r="A13" s="1093" t="s">
        <v>150</v>
      </c>
      <c r="B13" s="1126">
        <v>4270</v>
      </c>
      <c r="C13" s="1028">
        <v>1602</v>
      </c>
      <c r="D13" s="1028">
        <v>67</v>
      </c>
      <c r="E13" s="1028">
        <v>195</v>
      </c>
      <c r="F13" s="1030">
        <v>1340</v>
      </c>
      <c r="G13" s="1096"/>
      <c r="H13" s="1037">
        <v>229</v>
      </c>
      <c r="I13" s="1127">
        <v>15.7</v>
      </c>
      <c r="J13" s="1097"/>
      <c r="K13" s="1037">
        <v>1</v>
      </c>
      <c r="L13" s="1028">
        <v>238452</v>
      </c>
      <c r="M13" s="1127">
        <v>97.8</v>
      </c>
      <c r="N13" s="1128">
        <v>23110084</v>
      </c>
      <c r="O13" s="1129">
        <v>76.2</v>
      </c>
      <c r="P13" s="1127">
        <v>99.6</v>
      </c>
      <c r="Q13" s="1097"/>
      <c r="R13" s="1128">
        <v>239559</v>
      </c>
      <c r="S13" s="1130">
        <v>99.9</v>
      </c>
      <c r="T13" s="1131">
        <v>24150570</v>
      </c>
      <c r="U13" s="1130">
        <v>91.8</v>
      </c>
      <c r="V13" s="1129">
        <v>109.5</v>
      </c>
      <c r="W13" s="1129">
        <v>49.5</v>
      </c>
      <c r="X13" s="1129">
        <v>38.799999999999997</v>
      </c>
      <c r="Y13" s="1127">
        <v>37.1</v>
      </c>
      <c r="Z13" s="1097"/>
      <c r="AA13" s="1132">
        <v>1073</v>
      </c>
      <c r="AB13" s="1016">
        <v>118.41</v>
      </c>
      <c r="AC13" s="1023">
        <f>SUM(AD13:AG13)</f>
        <v>2733</v>
      </c>
      <c r="AD13" s="1023">
        <v>1911</v>
      </c>
      <c r="AE13" s="1023" t="s">
        <v>143</v>
      </c>
      <c r="AF13" s="1023">
        <v>822</v>
      </c>
      <c r="AG13" s="1023" t="s">
        <v>143</v>
      </c>
      <c r="AH13" s="1023" t="s">
        <v>143</v>
      </c>
      <c r="AI13" s="1023" t="s">
        <v>143</v>
      </c>
      <c r="AJ13" s="1023">
        <v>26</v>
      </c>
      <c r="AK13" s="1074">
        <v>557</v>
      </c>
    </row>
    <row r="14" spans="1:37" s="1078" customFormat="1" ht="15.75" customHeight="1" x14ac:dyDescent="0.2">
      <c r="A14" s="1106" t="s">
        <v>151</v>
      </c>
      <c r="B14" s="1119">
        <v>7936</v>
      </c>
      <c r="C14" s="1032">
        <v>3434</v>
      </c>
      <c r="D14" s="1032">
        <v>147</v>
      </c>
      <c r="E14" s="1032">
        <v>247</v>
      </c>
      <c r="F14" s="1034">
        <v>3040</v>
      </c>
      <c r="G14" s="1096"/>
      <c r="H14" s="1036">
        <v>198</v>
      </c>
      <c r="I14" s="1120">
        <v>11.65</v>
      </c>
      <c r="J14" s="1097"/>
      <c r="K14" s="1036">
        <v>2</v>
      </c>
      <c r="L14" s="1032">
        <v>183051</v>
      </c>
      <c r="M14" s="1120">
        <v>66.3</v>
      </c>
      <c r="N14" s="1121">
        <v>18076889</v>
      </c>
      <c r="O14" s="1122">
        <v>90.5</v>
      </c>
      <c r="P14" s="1120">
        <v>87.2</v>
      </c>
      <c r="Q14" s="1097"/>
      <c r="R14" s="1121">
        <v>278474</v>
      </c>
      <c r="S14" s="1123">
        <v>98.91</v>
      </c>
      <c r="T14" s="1124">
        <v>26691370</v>
      </c>
      <c r="U14" s="1123">
        <v>89.95</v>
      </c>
      <c r="V14" s="1122">
        <v>95.84</v>
      </c>
      <c r="W14" s="1122">
        <v>5.6</v>
      </c>
      <c r="X14" s="1122">
        <v>39.299999999999997</v>
      </c>
      <c r="Y14" s="1120">
        <v>44.1</v>
      </c>
      <c r="Z14" s="1097"/>
      <c r="AA14" s="1125">
        <v>2057</v>
      </c>
      <c r="AB14" s="1025">
        <v>91.08</v>
      </c>
      <c r="AC14" s="1058">
        <v>6476</v>
      </c>
      <c r="AD14" s="1058">
        <v>4187</v>
      </c>
      <c r="AE14" s="1058" t="s">
        <v>143</v>
      </c>
      <c r="AF14" s="1058">
        <v>2289</v>
      </c>
      <c r="AG14" s="1058" t="s">
        <v>152</v>
      </c>
      <c r="AH14" s="1058" t="s">
        <v>143</v>
      </c>
      <c r="AI14" s="1058" t="s">
        <v>143</v>
      </c>
      <c r="AJ14" s="1058">
        <v>33</v>
      </c>
      <c r="AK14" s="1073">
        <v>1016</v>
      </c>
    </row>
    <row r="15" spans="1:37" s="1078" customFormat="1" ht="15.75" customHeight="1" x14ac:dyDescent="0.2">
      <c r="A15" s="1093" t="s">
        <v>153</v>
      </c>
      <c r="B15" s="1126">
        <v>9024</v>
      </c>
      <c r="C15" s="1028">
        <v>3864</v>
      </c>
      <c r="D15" s="1028">
        <v>97</v>
      </c>
      <c r="E15" s="1028">
        <v>338</v>
      </c>
      <c r="F15" s="1030">
        <v>3429</v>
      </c>
      <c r="G15" s="1096"/>
      <c r="H15" s="1037">
        <v>320</v>
      </c>
      <c r="I15" s="1127">
        <v>10.81</v>
      </c>
      <c r="J15" s="1097"/>
      <c r="K15" s="1037">
        <v>1</v>
      </c>
      <c r="L15" s="1028">
        <v>237082</v>
      </c>
      <c r="M15" s="1127">
        <v>73.599999999999994</v>
      </c>
      <c r="N15" s="1128">
        <v>22279885</v>
      </c>
      <c r="O15" s="1129">
        <v>77.900000000000006</v>
      </c>
      <c r="P15" s="1127">
        <v>90.2</v>
      </c>
      <c r="Q15" s="1097"/>
      <c r="R15" s="1128">
        <v>317978</v>
      </c>
      <c r="S15" s="1130">
        <v>96.1</v>
      </c>
      <c r="T15" s="1131">
        <v>34626207</v>
      </c>
      <c r="U15" s="1130">
        <v>90</v>
      </c>
      <c r="V15" s="1129">
        <v>108.89</v>
      </c>
      <c r="W15" s="1129">
        <v>15.5</v>
      </c>
      <c r="X15" s="1129">
        <v>40.799999999999997</v>
      </c>
      <c r="Y15" s="1127">
        <v>67.400000000000006</v>
      </c>
      <c r="Z15" s="1097"/>
      <c r="AA15" s="1132">
        <v>2265</v>
      </c>
      <c r="AB15" s="1016">
        <v>94</v>
      </c>
      <c r="AC15" s="1023">
        <v>6088</v>
      </c>
      <c r="AD15" s="1023">
        <v>3759</v>
      </c>
      <c r="AE15" s="1023" t="s">
        <v>143</v>
      </c>
      <c r="AF15" s="1023">
        <v>2329</v>
      </c>
      <c r="AG15" s="1023" t="s">
        <v>143</v>
      </c>
      <c r="AH15" s="1023" t="s">
        <v>143</v>
      </c>
      <c r="AI15" s="1023" t="s">
        <v>143</v>
      </c>
      <c r="AJ15" s="1023">
        <v>35</v>
      </c>
      <c r="AK15" s="1074">
        <v>938</v>
      </c>
    </row>
    <row r="16" spans="1:37" s="1078" customFormat="1" ht="15.75" customHeight="1" x14ac:dyDescent="0.2">
      <c r="A16" s="1106" t="s">
        <v>154</v>
      </c>
      <c r="B16" s="1119">
        <v>8961</v>
      </c>
      <c r="C16" s="1032">
        <v>4379</v>
      </c>
      <c r="D16" s="1032">
        <v>156</v>
      </c>
      <c r="E16" s="1032">
        <v>582</v>
      </c>
      <c r="F16" s="1034">
        <v>3641</v>
      </c>
      <c r="G16" s="1096"/>
      <c r="H16" s="1036">
        <v>275</v>
      </c>
      <c r="I16" s="1120">
        <v>15.6</v>
      </c>
      <c r="J16" s="1097"/>
      <c r="K16" s="1036">
        <v>4</v>
      </c>
      <c r="L16" s="1032">
        <v>174527</v>
      </c>
      <c r="M16" s="1120">
        <v>54.6</v>
      </c>
      <c r="N16" s="1121">
        <v>17368723</v>
      </c>
      <c r="O16" s="1122">
        <v>66.5</v>
      </c>
      <c r="P16" s="1120">
        <v>86.4</v>
      </c>
      <c r="Q16" s="1097"/>
      <c r="R16" s="1121">
        <v>329675</v>
      </c>
      <c r="S16" s="1123">
        <v>99.77</v>
      </c>
      <c r="T16" s="1124">
        <v>36463449</v>
      </c>
      <c r="U16" s="1123">
        <v>86.5</v>
      </c>
      <c r="V16" s="1122">
        <v>110.6</v>
      </c>
      <c r="W16" s="1122">
        <v>11.1</v>
      </c>
      <c r="X16" s="1122">
        <v>23.4</v>
      </c>
      <c r="Y16" s="1120">
        <v>30.6</v>
      </c>
      <c r="Z16" s="1097"/>
      <c r="AA16" s="1125">
        <v>1956</v>
      </c>
      <c r="AB16" s="1025">
        <v>100.58</v>
      </c>
      <c r="AC16" s="1058">
        <v>12381</v>
      </c>
      <c r="AD16" s="1058">
        <v>8240</v>
      </c>
      <c r="AE16" s="1058" t="s">
        <v>143</v>
      </c>
      <c r="AF16" s="1058">
        <v>4141</v>
      </c>
      <c r="AG16" s="1058" t="s">
        <v>143</v>
      </c>
      <c r="AH16" s="1058" t="s">
        <v>143</v>
      </c>
      <c r="AI16" s="1058" t="s">
        <v>143</v>
      </c>
      <c r="AJ16" s="1058">
        <v>17</v>
      </c>
      <c r="AK16" s="1073">
        <v>435</v>
      </c>
    </row>
    <row r="17" spans="1:37" s="1078" customFormat="1" ht="15.75" customHeight="1" x14ac:dyDescent="0.2">
      <c r="A17" s="1093" t="s">
        <v>155</v>
      </c>
      <c r="B17" s="1126">
        <v>7707</v>
      </c>
      <c r="C17" s="1028">
        <v>2557</v>
      </c>
      <c r="D17" s="1028">
        <v>103</v>
      </c>
      <c r="E17" s="1028">
        <v>172</v>
      </c>
      <c r="F17" s="1030">
        <v>2282</v>
      </c>
      <c r="G17" s="1096"/>
      <c r="H17" s="1037">
        <v>144</v>
      </c>
      <c r="I17" s="1127">
        <v>11.66</v>
      </c>
      <c r="J17" s="1097"/>
      <c r="K17" s="1037">
        <v>3</v>
      </c>
      <c r="L17" s="1028">
        <v>214768</v>
      </c>
      <c r="M17" s="1127">
        <v>79.2</v>
      </c>
      <c r="N17" s="1128">
        <v>20075466</v>
      </c>
      <c r="O17" s="1129">
        <v>63.3</v>
      </c>
      <c r="P17" s="1127">
        <v>91.8</v>
      </c>
      <c r="Q17" s="1097"/>
      <c r="R17" s="1128">
        <v>267329</v>
      </c>
      <c r="S17" s="1130">
        <v>99.4</v>
      </c>
      <c r="T17" s="1131">
        <v>28832622</v>
      </c>
      <c r="U17" s="1130">
        <v>89.2</v>
      </c>
      <c r="V17" s="1129">
        <v>108</v>
      </c>
      <c r="W17" s="1129">
        <v>4.2</v>
      </c>
      <c r="X17" s="1129">
        <v>0</v>
      </c>
      <c r="Y17" s="1127">
        <v>99.1</v>
      </c>
      <c r="Z17" s="1097"/>
      <c r="AA17" s="1132">
        <v>1748</v>
      </c>
      <c r="AB17" s="1016">
        <v>99.9</v>
      </c>
      <c r="AC17" s="1023">
        <v>7901</v>
      </c>
      <c r="AD17" s="1023">
        <v>3700</v>
      </c>
      <c r="AE17" s="1023" t="s">
        <v>143</v>
      </c>
      <c r="AF17" s="1023">
        <v>4201</v>
      </c>
      <c r="AG17" s="1023" t="s">
        <v>143</v>
      </c>
      <c r="AH17" s="1023" t="s">
        <v>143</v>
      </c>
      <c r="AI17" s="1023" t="s">
        <v>143</v>
      </c>
      <c r="AJ17" s="1023">
        <v>33</v>
      </c>
      <c r="AK17" s="1074">
        <v>845</v>
      </c>
    </row>
    <row r="18" spans="1:37" s="1078" customFormat="1" ht="15.75" customHeight="1" x14ac:dyDescent="0.2">
      <c r="A18" s="1106" t="s">
        <v>157</v>
      </c>
      <c r="B18" s="1119">
        <v>7742</v>
      </c>
      <c r="C18" s="1032">
        <v>3387</v>
      </c>
      <c r="D18" s="1032">
        <v>132</v>
      </c>
      <c r="E18" s="1032">
        <v>229</v>
      </c>
      <c r="F18" s="1034">
        <v>3026</v>
      </c>
      <c r="G18" s="1096"/>
      <c r="H18" s="1036">
        <v>1061</v>
      </c>
      <c r="I18" s="1120">
        <v>10.8</v>
      </c>
      <c r="J18" s="1097"/>
      <c r="K18" s="1036">
        <v>5</v>
      </c>
      <c r="L18" s="1032">
        <v>467819</v>
      </c>
      <c r="M18" s="1120">
        <v>89.9</v>
      </c>
      <c r="N18" s="1121">
        <v>48544327</v>
      </c>
      <c r="O18" s="1122">
        <v>64.599999999999994</v>
      </c>
      <c r="P18" s="1120">
        <v>98.7</v>
      </c>
      <c r="Q18" s="1097"/>
      <c r="R18" s="1121">
        <v>507355</v>
      </c>
      <c r="S18" s="1123">
        <v>98</v>
      </c>
      <c r="T18" s="1124">
        <v>52457023</v>
      </c>
      <c r="U18" s="1123">
        <v>89.2</v>
      </c>
      <c r="V18" s="1122">
        <v>103.4</v>
      </c>
      <c r="W18" s="1122">
        <v>5.9</v>
      </c>
      <c r="X18" s="1122">
        <v>24</v>
      </c>
      <c r="Y18" s="1120">
        <v>34.9</v>
      </c>
      <c r="Z18" s="1097"/>
      <c r="AA18" s="1125">
        <v>4051</v>
      </c>
      <c r="AB18" s="1025">
        <v>96.443594174277962</v>
      </c>
      <c r="AC18" s="1058">
        <v>7348</v>
      </c>
      <c r="AD18" s="1058">
        <v>3633</v>
      </c>
      <c r="AE18" s="1058" t="s">
        <v>143</v>
      </c>
      <c r="AF18" s="1058">
        <v>3446</v>
      </c>
      <c r="AG18" s="1058">
        <v>149</v>
      </c>
      <c r="AH18" s="1058" t="s">
        <v>143</v>
      </c>
      <c r="AI18" s="1058" t="s">
        <v>143</v>
      </c>
      <c r="AJ18" s="1058">
        <v>38</v>
      </c>
      <c r="AK18" s="1073">
        <v>1359</v>
      </c>
    </row>
    <row r="19" spans="1:37" s="1078" customFormat="1" ht="15.75" customHeight="1" x14ac:dyDescent="0.2">
      <c r="A19" s="1093" t="s">
        <v>158</v>
      </c>
      <c r="B19" s="1126">
        <v>17006</v>
      </c>
      <c r="C19" s="1028">
        <v>4365</v>
      </c>
      <c r="D19" s="1028">
        <v>56</v>
      </c>
      <c r="E19" s="1028">
        <v>244</v>
      </c>
      <c r="F19" s="1030">
        <v>4065</v>
      </c>
      <c r="G19" s="1096"/>
      <c r="H19" s="1037">
        <v>425</v>
      </c>
      <c r="I19" s="1127">
        <v>11.8</v>
      </c>
      <c r="J19" s="1097"/>
      <c r="K19" s="1037">
        <v>2</v>
      </c>
      <c r="L19" s="1028">
        <v>239419</v>
      </c>
      <c r="M19" s="1127">
        <v>71.400000000000006</v>
      </c>
      <c r="N19" s="1128">
        <v>27246111</v>
      </c>
      <c r="O19" s="1129">
        <v>72.400000000000006</v>
      </c>
      <c r="P19" s="1127">
        <v>93.4</v>
      </c>
      <c r="Q19" s="1097"/>
      <c r="R19" s="1128">
        <v>335073</v>
      </c>
      <c r="S19" s="1130">
        <v>99.9</v>
      </c>
      <c r="T19" s="1131">
        <v>39266189</v>
      </c>
      <c r="U19" s="1130">
        <v>83.3</v>
      </c>
      <c r="V19" s="1129">
        <v>117.2</v>
      </c>
      <c r="W19" s="1129">
        <v>9.9</v>
      </c>
      <c r="X19" s="1129">
        <v>12.9</v>
      </c>
      <c r="Y19" s="1127">
        <v>48.7</v>
      </c>
      <c r="Z19" s="1097"/>
      <c r="AA19" s="1132">
        <v>2080</v>
      </c>
      <c r="AB19" s="1016">
        <v>100.6</v>
      </c>
      <c r="AC19" s="1023">
        <v>7868</v>
      </c>
      <c r="AD19" s="1023">
        <v>5390</v>
      </c>
      <c r="AE19" s="1023" t="s">
        <v>143</v>
      </c>
      <c r="AF19" s="1023">
        <v>2145</v>
      </c>
      <c r="AG19" s="1023">
        <v>333</v>
      </c>
      <c r="AH19" s="1023" t="s">
        <v>143</v>
      </c>
      <c r="AI19" s="1023" t="s">
        <v>143</v>
      </c>
      <c r="AJ19" s="1023">
        <v>32</v>
      </c>
      <c r="AK19" s="1074">
        <v>970</v>
      </c>
    </row>
    <row r="20" spans="1:37" s="1078" customFormat="1" ht="15.75" customHeight="1" x14ac:dyDescent="0.2">
      <c r="A20" s="1106" t="s">
        <v>159</v>
      </c>
      <c r="B20" s="1119">
        <v>18229</v>
      </c>
      <c r="C20" s="1032">
        <v>4437</v>
      </c>
      <c r="D20" s="1032">
        <v>73</v>
      </c>
      <c r="E20" s="1032">
        <v>347</v>
      </c>
      <c r="F20" s="1034">
        <v>4017</v>
      </c>
      <c r="G20" s="1096"/>
      <c r="H20" s="1036">
        <v>220</v>
      </c>
      <c r="I20" s="1120">
        <v>22.1</v>
      </c>
      <c r="J20" s="1097"/>
      <c r="K20" s="1036">
        <v>3</v>
      </c>
      <c r="L20" s="1032">
        <v>275150</v>
      </c>
      <c r="M20" s="1120">
        <v>73.900000000000006</v>
      </c>
      <c r="N20" s="1121">
        <v>31711744</v>
      </c>
      <c r="O20" s="1122">
        <v>68.099999999999994</v>
      </c>
      <c r="P20" s="1120">
        <v>84.7</v>
      </c>
      <c r="Q20" s="1097"/>
      <c r="R20" s="1121">
        <v>365540</v>
      </c>
      <c r="S20" s="1123">
        <v>99.9</v>
      </c>
      <c r="T20" s="1124">
        <v>43092713</v>
      </c>
      <c r="U20" s="1123">
        <v>87.6</v>
      </c>
      <c r="V20" s="1122">
        <v>117.9</v>
      </c>
      <c r="W20" s="1122">
        <v>7.8</v>
      </c>
      <c r="X20" s="1122">
        <v>14.2</v>
      </c>
      <c r="Y20" s="1120">
        <v>54</v>
      </c>
      <c r="Z20" s="1097"/>
      <c r="AA20" s="1125">
        <v>2387</v>
      </c>
      <c r="AB20" s="1025">
        <v>98.508499999999998</v>
      </c>
      <c r="AC20" s="1058">
        <v>7115</v>
      </c>
      <c r="AD20" s="1058">
        <v>4071</v>
      </c>
      <c r="AE20" s="1058" t="s">
        <v>143</v>
      </c>
      <c r="AF20" s="1058">
        <v>2901</v>
      </c>
      <c r="AG20" s="1058">
        <v>143</v>
      </c>
      <c r="AH20" s="1058" t="s">
        <v>143</v>
      </c>
      <c r="AI20" s="1058" t="s">
        <v>143</v>
      </c>
      <c r="AJ20" s="1058">
        <v>37</v>
      </c>
      <c r="AK20" s="1073">
        <v>1212</v>
      </c>
    </row>
    <row r="21" spans="1:37" s="1078" customFormat="1" ht="15.75" customHeight="1" x14ac:dyDescent="0.2">
      <c r="A21" s="1093" t="s">
        <v>163</v>
      </c>
      <c r="B21" s="1094">
        <v>5972</v>
      </c>
      <c r="C21" s="1027">
        <v>1719</v>
      </c>
      <c r="D21" s="1027">
        <v>27</v>
      </c>
      <c r="E21" s="1027">
        <v>73</v>
      </c>
      <c r="F21" s="1117">
        <v>1619</v>
      </c>
      <c r="G21" s="1096"/>
      <c r="H21" s="1038">
        <v>322</v>
      </c>
      <c r="I21" s="1092">
        <v>4.7</v>
      </c>
      <c r="J21" s="1097"/>
      <c r="K21" s="1038">
        <v>0</v>
      </c>
      <c r="L21" s="1027">
        <v>304701</v>
      </c>
      <c r="M21" s="1092">
        <v>86.2</v>
      </c>
      <c r="N21" s="1076">
        <v>32850067</v>
      </c>
      <c r="O21" s="1091">
        <v>65.7</v>
      </c>
      <c r="P21" s="1092">
        <v>95.98</v>
      </c>
      <c r="Q21" s="1097"/>
      <c r="R21" s="1076">
        <v>353411</v>
      </c>
      <c r="S21" s="1101">
        <v>99.9</v>
      </c>
      <c r="T21" s="1102">
        <v>36996965</v>
      </c>
      <c r="U21" s="1101">
        <v>93.3</v>
      </c>
      <c r="V21" s="1091">
        <v>104.7</v>
      </c>
      <c r="W21" s="1091">
        <v>22.6</v>
      </c>
      <c r="X21" s="1091">
        <v>11.8</v>
      </c>
      <c r="Y21" s="1092">
        <v>89</v>
      </c>
      <c r="Z21" s="1097"/>
      <c r="AA21" s="1103">
        <v>2334</v>
      </c>
      <c r="AB21" s="1104">
        <v>87.29</v>
      </c>
      <c r="AC21" s="1090">
        <v>2793</v>
      </c>
      <c r="AD21" s="1090">
        <v>1100</v>
      </c>
      <c r="AE21" s="1090" t="s">
        <v>143</v>
      </c>
      <c r="AF21" s="1090">
        <v>1500</v>
      </c>
      <c r="AG21" s="1090" t="s">
        <v>143</v>
      </c>
      <c r="AH21" s="1090">
        <v>193</v>
      </c>
      <c r="AI21" s="1090" t="s">
        <v>143</v>
      </c>
      <c r="AJ21" s="1090">
        <v>16</v>
      </c>
      <c r="AK21" s="1105">
        <v>533</v>
      </c>
    </row>
    <row r="22" spans="1:37" s="1078" customFormat="1" ht="15.75" customHeight="1" x14ac:dyDescent="0.2">
      <c r="A22" s="1106" t="s">
        <v>166</v>
      </c>
      <c r="B22" s="1107">
        <v>6627</v>
      </c>
      <c r="C22" s="1040">
        <v>1316</v>
      </c>
      <c r="D22" s="1040">
        <v>18</v>
      </c>
      <c r="E22" s="1040">
        <v>72</v>
      </c>
      <c r="F22" s="1108">
        <v>1226</v>
      </c>
      <c r="G22" s="1096"/>
      <c r="H22" s="1039">
        <v>459</v>
      </c>
      <c r="I22" s="1109">
        <v>3.4</v>
      </c>
      <c r="J22" s="1097"/>
      <c r="K22" s="1039">
        <v>0</v>
      </c>
      <c r="L22" s="1040">
        <v>532753</v>
      </c>
      <c r="M22" s="1109">
        <v>87.6</v>
      </c>
      <c r="N22" s="1121">
        <v>51641936</v>
      </c>
      <c r="O22" s="1111">
        <v>91.94</v>
      </c>
      <c r="P22" s="1109">
        <v>95.6</v>
      </c>
      <c r="Q22" s="1097"/>
      <c r="R22" s="1110">
        <v>608385</v>
      </c>
      <c r="S22" s="1112">
        <v>99.9</v>
      </c>
      <c r="T22" s="1140">
        <v>57754966</v>
      </c>
      <c r="U22" s="1112">
        <v>90.13</v>
      </c>
      <c r="V22" s="1111">
        <v>94.93</v>
      </c>
      <c r="W22" s="1111">
        <v>22.72</v>
      </c>
      <c r="X22" s="1111">
        <v>30.9</v>
      </c>
      <c r="Y22" s="1109">
        <v>57.2</v>
      </c>
      <c r="Z22" s="1097"/>
      <c r="AA22" s="1114">
        <v>4530</v>
      </c>
      <c r="AB22" s="1115">
        <v>74.3</v>
      </c>
      <c r="AC22" s="1049">
        <v>8037</v>
      </c>
      <c r="AD22" s="1049">
        <v>2573</v>
      </c>
      <c r="AE22" s="1049">
        <v>0</v>
      </c>
      <c r="AF22" s="1049">
        <v>877</v>
      </c>
      <c r="AG22" s="1049">
        <v>0</v>
      </c>
      <c r="AH22" s="1049">
        <v>4587</v>
      </c>
      <c r="AI22" s="1049">
        <v>0</v>
      </c>
      <c r="AJ22" s="1049">
        <v>26</v>
      </c>
      <c r="AK22" s="1116">
        <v>966</v>
      </c>
    </row>
    <row r="23" spans="1:37" s="1078" customFormat="1" ht="15.75" customHeight="1" x14ac:dyDescent="0.2">
      <c r="A23" s="1093" t="s">
        <v>167</v>
      </c>
      <c r="B23" s="1094">
        <v>8632</v>
      </c>
      <c r="C23" s="1027">
        <v>1397</v>
      </c>
      <c r="D23" s="1027">
        <v>20</v>
      </c>
      <c r="E23" s="1027">
        <v>62</v>
      </c>
      <c r="F23" s="1117">
        <v>1315</v>
      </c>
      <c r="G23" s="1096"/>
      <c r="H23" s="1038">
        <v>111</v>
      </c>
      <c r="I23" s="1092">
        <v>2.69</v>
      </c>
      <c r="J23" s="1097"/>
      <c r="K23" s="1038" t="s">
        <v>143</v>
      </c>
      <c r="L23" s="1027">
        <v>289369</v>
      </c>
      <c r="M23" s="1092">
        <v>83.95</v>
      </c>
      <c r="N23" s="1076">
        <v>27454914</v>
      </c>
      <c r="O23" s="1091">
        <v>86.04</v>
      </c>
      <c r="P23" s="1092">
        <v>90.21</v>
      </c>
      <c r="Q23" s="1097"/>
      <c r="R23" s="1076">
        <v>373695</v>
      </c>
      <c r="S23" s="1101">
        <v>99.9</v>
      </c>
      <c r="T23" s="1118">
        <v>36900178</v>
      </c>
      <c r="U23" s="1101">
        <v>98.3</v>
      </c>
      <c r="V23" s="1091">
        <v>98.744104149105553</v>
      </c>
      <c r="W23" s="1091">
        <v>48.4</v>
      </c>
      <c r="X23" s="1091">
        <v>33.799999999999997</v>
      </c>
      <c r="Y23" s="1092">
        <v>67.900000000000006</v>
      </c>
      <c r="Z23" s="1097"/>
      <c r="AA23" s="1103">
        <v>1631</v>
      </c>
      <c r="AB23" s="1104">
        <v>95.87</v>
      </c>
      <c r="AC23" s="1090">
        <v>2006</v>
      </c>
      <c r="AD23" s="1090">
        <v>250</v>
      </c>
      <c r="AE23" s="1090" t="s">
        <v>143</v>
      </c>
      <c r="AF23" s="1090">
        <v>684</v>
      </c>
      <c r="AG23" s="1090">
        <v>176</v>
      </c>
      <c r="AH23" s="1090">
        <v>896</v>
      </c>
      <c r="AI23" s="1090" t="s">
        <v>143</v>
      </c>
      <c r="AJ23" s="1090">
        <v>18</v>
      </c>
      <c r="AK23" s="1105">
        <v>749</v>
      </c>
    </row>
    <row r="24" spans="1:37" s="1078" customFormat="1" ht="15.75" customHeight="1" x14ac:dyDescent="0.2">
      <c r="A24" s="1106" t="s">
        <v>168</v>
      </c>
      <c r="B24" s="1107">
        <v>6200</v>
      </c>
      <c r="C24" s="1040">
        <v>1246</v>
      </c>
      <c r="D24" s="1040">
        <v>22</v>
      </c>
      <c r="E24" s="1040">
        <v>47</v>
      </c>
      <c r="F24" s="1108">
        <v>1177</v>
      </c>
      <c r="G24" s="1096"/>
      <c r="H24" s="1039">
        <v>809</v>
      </c>
      <c r="I24" s="1109">
        <v>3.35</v>
      </c>
      <c r="J24" s="1097"/>
      <c r="K24" s="1039">
        <v>2</v>
      </c>
      <c r="L24" s="1040">
        <v>569142</v>
      </c>
      <c r="M24" s="1109">
        <v>88.4</v>
      </c>
      <c r="N24" s="1110">
        <v>52149700</v>
      </c>
      <c r="O24" s="1111">
        <v>75.8</v>
      </c>
      <c r="P24" s="1109">
        <v>96.3</v>
      </c>
      <c r="Q24" s="1097"/>
      <c r="R24" s="1110">
        <v>621145</v>
      </c>
      <c r="S24" s="1112">
        <v>98.2</v>
      </c>
      <c r="T24" s="1113" t="s">
        <v>152</v>
      </c>
      <c r="U24" s="1112" t="s">
        <v>152</v>
      </c>
      <c r="V24" s="1111" t="s">
        <v>152</v>
      </c>
      <c r="W24" s="1111" t="s">
        <v>152</v>
      </c>
      <c r="X24" s="1111" t="s">
        <v>471</v>
      </c>
      <c r="Y24" s="1109" t="s">
        <v>471</v>
      </c>
      <c r="Z24" s="1097"/>
      <c r="AA24" s="1114">
        <v>5318</v>
      </c>
      <c r="AB24" s="1115">
        <v>74.5009402030839</v>
      </c>
      <c r="AC24" s="1049">
        <v>13933</v>
      </c>
      <c r="AD24" s="1049">
        <v>1432</v>
      </c>
      <c r="AE24" s="1049" t="s">
        <v>143</v>
      </c>
      <c r="AF24" s="1049">
        <v>1260</v>
      </c>
      <c r="AG24" s="1049">
        <v>51</v>
      </c>
      <c r="AH24" s="1049">
        <v>11190</v>
      </c>
      <c r="AI24" s="1049" t="s">
        <v>143</v>
      </c>
      <c r="AJ24" s="1049">
        <v>28</v>
      </c>
      <c r="AK24" s="1116">
        <v>1353</v>
      </c>
    </row>
    <row r="25" spans="1:37" s="1078" customFormat="1" ht="15.75" customHeight="1" x14ac:dyDescent="0.2">
      <c r="A25" s="1093" t="s">
        <v>171</v>
      </c>
      <c r="B25" s="1094">
        <v>8364</v>
      </c>
      <c r="C25" s="1027">
        <v>1607</v>
      </c>
      <c r="D25" s="1027">
        <v>21</v>
      </c>
      <c r="E25" s="1027">
        <v>78</v>
      </c>
      <c r="F25" s="1117">
        <v>1508</v>
      </c>
      <c r="G25" s="1096"/>
      <c r="H25" s="1038">
        <v>644</v>
      </c>
      <c r="I25" s="1092">
        <v>4.3</v>
      </c>
      <c r="J25" s="1097"/>
      <c r="K25" s="1038" t="s">
        <v>143</v>
      </c>
      <c r="L25" s="1027">
        <v>384802</v>
      </c>
      <c r="M25" s="1092">
        <v>90.3</v>
      </c>
      <c r="N25" s="1076">
        <v>37836490</v>
      </c>
      <c r="O25" s="1091">
        <v>79.680000000000007</v>
      </c>
      <c r="P25" s="1092">
        <v>94.6</v>
      </c>
      <c r="Q25" s="1097"/>
      <c r="R25" s="1076">
        <v>408024</v>
      </c>
      <c r="S25" s="1101">
        <v>94.6</v>
      </c>
      <c r="T25" s="1102">
        <v>38412580</v>
      </c>
      <c r="U25" s="1101">
        <v>93.4</v>
      </c>
      <c r="V25" s="1091">
        <f>ROUND(T25/R25,1)</f>
        <v>94.1</v>
      </c>
      <c r="W25" s="1091">
        <v>30.5</v>
      </c>
      <c r="X25" s="1091">
        <v>21.5</v>
      </c>
      <c r="Y25" s="1092">
        <v>85.9</v>
      </c>
      <c r="Z25" s="1097"/>
      <c r="AA25" s="1103">
        <v>3450</v>
      </c>
      <c r="AB25" s="1104">
        <v>86.8</v>
      </c>
      <c r="AC25" s="1090">
        <v>5439</v>
      </c>
      <c r="AD25" s="1090">
        <v>832</v>
      </c>
      <c r="AE25" s="1090" t="s">
        <v>143</v>
      </c>
      <c r="AF25" s="1090">
        <v>144</v>
      </c>
      <c r="AG25" s="1090" t="s">
        <v>143</v>
      </c>
      <c r="AH25" s="1090">
        <v>4463</v>
      </c>
      <c r="AI25" s="1090" t="s">
        <v>143</v>
      </c>
      <c r="AJ25" s="1090">
        <v>39</v>
      </c>
      <c r="AK25" s="1105">
        <v>1703</v>
      </c>
    </row>
    <row r="26" spans="1:37" s="1078" customFormat="1" ht="15.75" customHeight="1" x14ac:dyDescent="0.2">
      <c r="A26" s="1106" t="s">
        <v>172</v>
      </c>
      <c r="B26" s="1107">
        <v>6089</v>
      </c>
      <c r="C26" s="1040">
        <v>1524</v>
      </c>
      <c r="D26" s="1040">
        <v>45</v>
      </c>
      <c r="E26" s="1040">
        <v>142</v>
      </c>
      <c r="F26" s="1108">
        <v>1337</v>
      </c>
      <c r="G26" s="1096"/>
      <c r="H26" s="1039">
        <v>809</v>
      </c>
      <c r="I26" s="1109">
        <v>12.2</v>
      </c>
      <c r="J26" s="1097"/>
      <c r="K26" s="1039">
        <v>1</v>
      </c>
      <c r="L26" s="1040">
        <v>557978</v>
      </c>
      <c r="M26" s="1109">
        <v>99.4</v>
      </c>
      <c r="N26" s="1110">
        <v>58249999</v>
      </c>
      <c r="O26" s="1111">
        <v>82.2</v>
      </c>
      <c r="P26" s="1109">
        <v>99.9</v>
      </c>
      <c r="Q26" s="1097"/>
      <c r="R26" s="1110">
        <v>577511</v>
      </c>
      <c r="S26" s="1112">
        <v>99.994</v>
      </c>
      <c r="T26" s="1113">
        <v>57150348</v>
      </c>
      <c r="U26" s="1112">
        <v>99.92</v>
      </c>
      <c r="V26" s="1111">
        <v>98.96</v>
      </c>
      <c r="W26" s="1111">
        <v>45</v>
      </c>
      <c r="X26" s="1111" t="s">
        <v>152</v>
      </c>
      <c r="Y26" s="1109" t="s">
        <v>152</v>
      </c>
      <c r="Z26" s="1097"/>
      <c r="AA26" s="1114">
        <v>2508</v>
      </c>
      <c r="AB26" s="1115">
        <v>79.900000000000006</v>
      </c>
      <c r="AC26" s="1049">
        <v>23801</v>
      </c>
      <c r="AD26" s="1049">
        <v>1372</v>
      </c>
      <c r="AE26" s="1049">
        <v>99</v>
      </c>
      <c r="AF26" s="1049">
        <v>10740</v>
      </c>
      <c r="AG26" s="1049">
        <v>3723</v>
      </c>
      <c r="AH26" s="1049">
        <v>7867</v>
      </c>
      <c r="AI26" s="1049" t="s">
        <v>143</v>
      </c>
      <c r="AJ26" s="1049">
        <v>25</v>
      </c>
      <c r="AK26" s="1116">
        <v>772</v>
      </c>
    </row>
    <row r="27" spans="1:37" s="1078" customFormat="1" ht="15.75" customHeight="1" x14ac:dyDescent="0.2">
      <c r="A27" s="1093" t="s">
        <v>173</v>
      </c>
      <c r="B27" s="1094">
        <v>7003</v>
      </c>
      <c r="C27" s="1027">
        <v>1520</v>
      </c>
      <c r="D27" s="1027">
        <v>47</v>
      </c>
      <c r="E27" s="1027">
        <v>55</v>
      </c>
      <c r="F27" s="1117">
        <v>1418</v>
      </c>
      <c r="G27" s="1096"/>
      <c r="H27" s="1038">
        <v>534</v>
      </c>
      <c r="I27" s="1092">
        <v>14</v>
      </c>
      <c r="J27" s="1097"/>
      <c r="K27" s="1038">
        <v>4</v>
      </c>
      <c r="L27" s="1027">
        <v>389771</v>
      </c>
      <c r="M27" s="1092">
        <v>97.8</v>
      </c>
      <c r="N27" s="1076">
        <v>41675652</v>
      </c>
      <c r="O27" s="1091">
        <v>73.400000000000006</v>
      </c>
      <c r="P27" s="1092">
        <v>98.6</v>
      </c>
      <c r="Q27" s="1097"/>
      <c r="R27" s="1076">
        <v>390539</v>
      </c>
      <c r="S27" s="1101">
        <v>100</v>
      </c>
      <c r="T27" s="1102">
        <v>52755990</v>
      </c>
      <c r="U27" s="1101">
        <v>90.9</v>
      </c>
      <c r="V27" s="1091">
        <v>135.08507473005258</v>
      </c>
      <c r="W27" s="1091">
        <v>33.299999999999997</v>
      </c>
      <c r="X27" s="1091">
        <v>46.7</v>
      </c>
      <c r="Y27" s="1092">
        <v>67.8</v>
      </c>
      <c r="Z27" s="1097"/>
      <c r="AA27" s="1103">
        <v>1731</v>
      </c>
      <c r="AB27" s="1104">
        <v>89.4</v>
      </c>
      <c r="AC27" s="1090">
        <v>9730</v>
      </c>
      <c r="AD27" s="1090">
        <v>4862</v>
      </c>
      <c r="AE27" s="1090" t="s">
        <v>143</v>
      </c>
      <c r="AF27" s="1090">
        <v>4086</v>
      </c>
      <c r="AG27" s="1090">
        <v>396</v>
      </c>
      <c r="AH27" s="1090">
        <v>386</v>
      </c>
      <c r="AI27" s="1090" t="s">
        <v>143</v>
      </c>
      <c r="AJ27" s="1090">
        <v>8</v>
      </c>
      <c r="AK27" s="1105">
        <v>253</v>
      </c>
    </row>
    <row r="28" spans="1:37" s="1078" customFormat="1" ht="15.75" customHeight="1" x14ac:dyDescent="0.2">
      <c r="A28" s="1106" t="s">
        <v>174</v>
      </c>
      <c r="B28" s="1119">
        <v>10778</v>
      </c>
      <c r="C28" s="1032">
        <v>4068</v>
      </c>
      <c r="D28" s="1032">
        <v>178</v>
      </c>
      <c r="E28" s="1032">
        <v>710</v>
      </c>
      <c r="F28" s="1034">
        <v>3180</v>
      </c>
      <c r="G28" s="1096"/>
      <c r="H28" s="1036">
        <v>1128</v>
      </c>
      <c r="I28" s="1120">
        <v>14.5</v>
      </c>
      <c r="J28" s="1097"/>
      <c r="K28" s="1036">
        <v>9</v>
      </c>
      <c r="L28" s="1032">
        <v>383650</v>
      </c>
      <c r="M28" s="1120">
        <v>92.5</v>
      </c>
      <c r="N28" s="1121">
        <v>41275038</v>
      </c>
      <c r="O28" s="1122">
        <v>79.62</v>
      </c>
      <c r="P28" s="1120">
        <v>99.2</v>
      </c>
      <c r="Q28" s="1097"/>
      <c r="R28" s="1121">
        <v>409836</v>
      </c>
      <c r="S28" s="1123">
        <v>98.87</v>
      </c>
      <c r="T28" s="1124">
        <v>44255936</v>
      </c>
      <c r="U28" s="1123">
        <v>90.44</v>
      </c>
      <c r="V28" s="1122">
        <v>107.98450111752018</v>
      </c>
      <c r="W28" s="1122">
        <v>42.38</v>
      </c>
      <c r="X28" s="1122">
        <v>57.7</v>
      </c>
      <c r="Y28" s="1120">
        <v>49.7</v>
      </c>
      <c r="Z28" s="1097"/>
      <c r="AA28" s="1125">
        <v>4022</v>
      </c>
      <c r="AB28" s="1025">
        <v>75.8</v>
      </c>
      <c r="AC28" s="1058">
        <v>6103</v>
      </c>
      <c r="AD28" s="1058">
        <v>4752</v>
      </c>
      <c r="AE28" s="1058" t="s">
        <v>143</v>
      </c>
      <c r="AF28" s="1058">
        <v>1351</v>
      </c>
      <c r="AG28" s="1058" t="s">
        <v>143</v>
      </c>
      <c r="AH28" s="1058" t="s">
        <v>143</v>
      </c>
      <c r="AI28" s="1058" t="s">
        <v>143</v>
      </c>
      <c r="AJ28" s="1058">
        <v>45</v>
      </c>
      <c r="AK28" s="1073">
        <v>1253</v>
      </c>
    </row>
    <row r="29" spans="1:37" s="1078" customFormat="1" ht="15.75" customHeight="1" x14ac:dyDescent="0.2">
      <c r="A29" s="1093" t="s">
        <v>175</v>
      </c>
      <c r="B29" s="1094">
        <v>11780</v>
      </c>
      <c r="C29" s="1027">
        <v>2459</v>
      </c>
      <c r="D29" s="1027">
        <v>57</v>
      </c>
      <c r="E29" s="1027">
        <v>212</v>
      </c>
      <c r="F29" s="1117">
        <v>2190</v>
      </c>
      <c r="G29" s="1096"/>
      <c r="H29" s="1038">
        <v>586</v>
      </c>
      <c r="I29" s="1092">
        <v>12.86</v>
      </c>
      <c r="J29" s="1097"/>
      <c r="K29" s="1141">
        <v>4</v>
      </c>
      <c r="L29" s="1027">
        <v>441401</v>
      </c>
      <c r="M29" s="1092">
        <v>98</v>
      </c>
      <c r="N29" s="1142">
        <v>51376484</v>
      </c>
      <c r="O29" s="1091">
        <v>84.4</v>
      </c>
      <c r="P29" s="1092">
        <v>99.8</v>
      </c>
      <c r="Q29" s="1097"/>
      <c r="R29" s="1076">
        <v>460094</v>
      </c>
      <c r="S29" s="1101">
        <v>99.6</v>
      </c>
      <c r="T29" s="1102">
        <v>49039066</v>
      </c>
      <c r="U29" s="1101">
        <v>92.6</v>
      </c>
      <c r="V29" s="1091">
        <v>106.6</v>
      </c>
      <c r="W29" s="1091">
        <v>26.1</v>
      </c>
      <c r="X29" s="1091">
        <v>80.5</v>
      </c>
      <c r="Y29" s="1092">
        <v>59.8</v>
      </c>
      <c r="Z29" s="1097"/>
      <c r="AA29" s="1103">
        <v>3322</v>
      </c>
      <c r="AB29" s="1104">
        <v>96.7</v>
      </c>
      <c r="AC29" s="1090">
        <f>SUM(AD29:AI29)</f>
        <v>6709</v>
      </c>
      <c r="AD29" s="1090">
        <v>3438</v>
      </c>
      <c r="AE29" s="1090">
        <v>0</v>
      </c>
      <c r="AF29" s="1090">
        <v>3271</v>
      </c>
      <c r="AG29" s="1090">
        <v>0</v>
      </c>
      <c r="AH29" s="1090">
        <v>0</v>
      </c>
      <c r="AI29" s="1090">
        <v>0</v>
      </c>
      <c r="AJ29" s="1090">
        <v>26</v>
      </c>
      <c r="AK29" s="1105">
        <v>958</v>
      </c>
    </row>
    <row r="30" spans="1:37" s="1078" customFormat="1" ht="15.75" customHeight="1" x14ac:dyDescent="0.2">
      <c r="A30" s="1106" t="s">
        <v>251</v>
      </c>
      <c r="B30" s="1107">
        <v>7167</v>
      </c>
      <c r="C30" s="1040">
        <v>2499</v>
      </c>
      <c r="D30" s="1040">
        <v>123</v>
      </c>
      <c r="E30" s="1040">
        <v>300</v>
      </c>
      <c r="F30" s="1108">
        <v>2076</v>
      </c>
      <c r="G30" s="1096"/>
      <c r="H30" s="1039">
        <v>398</v>
      </c>
      <c r="I30" s="1109">
        <v>15.4</v>
      </c>
      <c r="J30" s="1097"/>
      <c r="K30" s="1039">
        <v>7</v>
      </c>
      <c r="L30" s="1040">
        <v>238384</v>
      </c>
      <c r="M30" s="1109">
        <v>96.4</v>
      </c>
      <c r="N30" s="1110">
        <v>29934970</v>
      </c>
      <c r="O30" s="1111">
        <v>73.8</v>
      </c>
      <c r="P30" s="1109">
        <v>96.9</v>
      </c>
      <c r="Q30" s="1097"/>
      <c r="R30" s="1110">
        <v>256024</v>
      </c>
      <c r="S30" s="1112">
        <v>99.9</v>
      </c>
      <c r="T30" s="1113">
        <v>32951397</v>
      </c>
      <c r="U30" s="1112">
        <v>89.9</v>
      </c>
      <c r="V30" s="1111">
        <v>143.19999999999999</v>
      </c>
      <c r="W30" s="1111">
        <v>13.8</v>
      </c>
      <c r="X30" s="1111">
        <v>8.6</v>
      </c>
      <c r="Y30" s="1109">
        <v>38.4</v>
      </c>
      <c r="Z30" s="1097"/>
      <c r="AA30" s="1114">
        <v>1671</v>
      </c>
      <c r="AB30" s="1115">
        <v>103.71</v>
      </c>
      <c r="AC30" s="1049">
        <v>3422</v>
      </c>
      <c r="AD30" s="1049">
        <v>1968</v>
      </c>
      <c r="AE30" s="1049" t="s">
        <v>143</v>
      </c>
      <c r="AF30" s="1049">
        <v>1454</v>
      </c>
      <c r="AG30" s="1049" t="s">
        <v>143</v>
      </c>
      <c r="AH30" s="1049" t="s">
        <v>143</v>
      </c>
      <c r="AI30" s="1049" t="s">
        <v>143</v>
      </c>
      <c r="AJ30" s="1049">
        <v>27</v>
      </c>
      <c r="AK30" s="1116">
        <v>815</v>
      </c>
    </row>
    <row r="31" spans="1:37" s="1078" customFormat="1" ht="15.75" customHeight="1" x14ac:dyDescent="0.2">
      <c r="A31" s="1093" t="s">
        <v>178</v>
      </c>
      <c r="B31" s="1143">
        <v>1933</v>
      </c>
      <c r="C31" s="1144">
        <v>891</v>
      </c>
      <c r="D31" s="1144">
        <v>56.3</v>
      </c>
      <c r="E31" s="1144">
        <v>133.6</v>
      </c>
      <c r="F31" s="1145">
        <v>701.1</v>
      </c>
      <c r="G31" s="1146"/>
      <c r="H31" s="1147">
        <v>58</v>
      </c>
      <c r="I31" s="1148">
        <v>13.4</v>
      </c>
      <c r="J31" s="1097"/>
      <c r="K31" s="1147">
        <v>1</v>
      </c>
      <c r="L31" s="1042">
        <v>181268</v>
      </c>
      <c r="M31" s="1149">
        <v>96.85</v>
      </c>
      <c r="N31" s="1150">
        <v>21374944</v>
      </c>
      <c r="O31" s="1151">
        <v>55.8</v>
      </c>
      <c r="P31" s="1348">
        <v>98.8</v>
      </c>
      <c r="Q31" s="1097"/>
      <c r="R31" s="1150">
        <v>234981</v>
      </c>
      <c r="S31" s="1151">
        <v>99.32</v>
      </c>
      <c r="T31" s="1152">
        <v>26336751</v>
      </c>
      <c r="U31" s="1151">
        <v>82.9</v>
      </c>
      <c r="V31" s="1151">
        <v>112.08</v>
      </c>
      <c r="W31" s="1153">
        <v>15.9</v>
      </c>
      <c r="X31" s="1154">
        <v>99.7</v>
      </c>
      <c r="Y31" s="1155">
        <v>84.9</v>
      </c>
      <c r="Z31" s="1156"/>
      <c r="AA31" s="1103">
        <v>1039</v>
      </c>
      <c r="AB31" s="1104">
        <v>97.9</v>
      </c>
      <c r="AC31" s="1090">
        <v>5180</v>
      </c>
      <c r="AD31" s="1090">
        <v>2298</v>
      </c>
      <c r="AE31" s="1090" t="s">
        <v>143</v>
      </c>
      <c r="AF31" s="1090">
        <v>2794</v>
      </c>
      <c r="AG31" s="1090">
        <v>88</v>
      </c>
      <c r="AH31" s="1090" t="s">
        <v>143</v>
      </c>
      <c r="AI31" s="1090" t="s">
        <v>143</v>
      </c>
      <c r="AJ31" s="1090">
        <v>21</v>
      </c>
      <c r="AK31" s="1105">
        <v>480</v>
      </c>
    </row>
    <row r="32" spans="1:37" s="1078" customFormat="1" ht="15.75" customHeight="1" x14ac:dyDescent="0.2">
      <c r="A32" s="1106" t="s">
        <v>179</v>
      </c>
      <c r="B32" s="1107">
        <v>14176</v>
      </c>
      <c r="C32" s="1040">
        <v>4996.3999999999996</v>
      </c>
      <c r="D32" s="1040">
        <v>131.69999999999999</v>
      </c>
      <c r="E32" s="1040">
        <v>475.6</v>
      </c>
      <c r="F32" s="1108">
        <v>4389</v>
      </c>
      <c r="G32" s="1096"/>
      <c r="H32" s="1039">
        <v>206</v>
      </c>
      <c r="I32" s="1109">
        <v>7.8</v>
      </c>
      <c r="J32" s="1097"/>
      <c r="K32" s="1039">
        <v>8</v>
      </c>
      <c r="L32" s="1040">
        <v>351370</v>
      </c>
      <c r="M32" s="1109">
        <v>94</v>
      </c>
      <c r="N32" s="1157">
        <v>36706080</v>
      </c>
      <c r="O32" s="1111">
        <v>88</v>
      </c>
      <c r="P32" s="1109">
        <v>97.66</v>
      </c>
      <c r="Q32" s="1097"/>
      <c r="R32" s="1110">
        <v>269358</v>
      </c>
      <c r="S32" s="1112">
        <v>99.83</v>
      </c>
      <c r="T32" s="1140">
        <v>28426381</v>
      </c>
      <c r="U32" s="1112">
        <v>85.6</v>
      </c>
      <c r="V32" s="1111">
        <v>105.53382858500584</v>
      </c>
      <c r="W32" s="1111">
        <v>14.4</v>
      </c>
      <c r="X32" s="1111">
        <v>52.3</v>
      </c>
      <c r="Y32" s="1109">
        <v>34.700000000000003</v>
      </c>
      <c r="Z32" s="1097"/>
      <c r="AA32" s="1114">
        <v>2343</v>
      </c>
      <c r="AB32" s="1115">
        <v>94.8</v>
      </c>
      <c r="AC32" s="1049">
        <v>8015</v>
      </c>
      <c r="AD32" s="1049">
        <v>3624</v>
      </c>
      <c r="AE32" s="1049" t="s">
        <v>143</v>
      </c>
      <c r="AF32" s="1049">
        <v>4050</v>
      </c>
      <c r="AG32" s="1049">
        <v>341</v>
      </c>
      <c r="AH32" s="1049" t="s">
        <v>143</v>
      </c>
      <c r="AI32" s="1049" t="s">
        <v>143</v>
      </c>
      <c r="AJ32" s="1049">
        <v>29</v>
      </c>
      <c r="AK32" s="1116">
        <v>825</v>
      </c>
    </row>
    <row r="33" spans="1:37" s="1078" customFormat="1" ht="15.75" customHeight="1" x14ac:dyDescent="0.2">
      <c r="A33" s="1093" t="s">
        <v>252</v>
      </c>
      <c r="B33" s="1094">
        <v>6920</v>
      </c>
      <c r="C33" s="1027">
        <v>2734.6</v>
      </c>
      <c r="D33" s="1027">
        <v>96.8</v>
      </c>
      <c r="E33" s="1027">
        <v>267.8</v>
      </c>
      <c r="F33" s="1117">
        <v>2370</v>
      </c>
      <c r="G33" s="1096"/>
      <c r="H33" s="1038">
        <v>162</v>
      </c>
      <c r="I33" s="1092">
        <v>14.66</v>
      </c>
      <c r="J33" s="1097"/>
      <c r="K33" s="1038">
        <v>5</v>
      </c>
      <c r="L33" s="1027">
        <v>230517</v>
      </c>
      <c r="M33" s="1092">
        <v>96.9</v>
      </c>
      <c r="N33" s="1142">
        <v>26830383</v>
      </c>
      <c r="O33" s="1091">
        <v>71.7</v>
      </c>
      <c r="P33" s="1092">
        <v>99.7</v>
      </c>
      <c r="Q33" s="1097"/>
      <c r="R33" s="1076">
        <v>236753</v>
      </c>
      <c r="S33" s="1101">
        <v>99.5</v>
      </c>
      <c r="T33" s="1118">
        <v>25489678</v>
      </c>
      <c r="U33" s="1101">
        <v>84.9</v>
      </c>
      <c r="V33" s="1091">
        <v>108</v>
      </c>
      <c r="W33" s="1091">
        <v>27.7</v>
      </c>
      <c r="X33" s="1091">
        <v>36.9</v>
      </c>
      <c r="Y33" s="1092">
        <v>43.9</v>
      </c>
      <c r="Z33" s="1097"/>
      <c r="AA33" s="1103">
        <v>1838</v>
      </c>
      <c r="AB33" s="1104">
        <v>99.2</v>
      </c>
      <c r="AC33" s="1090">
        <v>5530</v>
      </c>
      <c r="AD33" s="1090">
        <v>2898</v>
      </c>
      <c r="AE33" s="1090">
        <v>0</v>
      </c>
      <c r="AF33" s="1090">
        <v>2632</v>
      </c>
      <c r="AG33" s="1090">
        <v>0</v>
      </c>
      <c r="AH33" s="1090">
        <v>0</v>
      </c>
      <c r="AI33" s="1090">
        <v>0</v>
      </c>
      <c r="AJ33" s="1090">
        <v>17</v>
      </c>
      <c r="AK33" s="1105">
        <v>545</v>
      </c>
    </row>
    <row r="34" spans="1:37" s="1078" customFormat="1" ht="15.75" customHeight="1" x14ac:dyDescent="0.2">
      <c r="A34" s="1106" t="s">
        <v>181</v>
      </c>
      <c r="B34" s="1119">
        <v>10860</v>
      </c>
      <c r="C34" s="1032">
        <v>2831</v>
      </c>
      <c r="D34" s="1032">
        <v>42</v>
      </c>
      <c r="E34" s="1032">
        <v>206</v>
      </c>
      <c r="F34" s="1034">
        <v>2583</v>
      </c>
      <c r="G34" s="1096"/>
      <c r="H34" s="1036">
        <v>382</v>
      </c>
      <c r="I34" s="1120">
        <v>8.89</v>
      </c>
      <c r="J34" s="1097"/>
      <c r="K34" s="1036">
        <v>4</v>
      </c>
      <c r="L34" s="1032">
        <v>382890</v>
      </c>
      <c r="M34" s="1120">
        <v>93.8</v>
      </c>
      <c r="N34" s="1158">
        <v>44091736</v>
      </c>
      <c r="O34" s="1122">
        <v>76.8</v>
      </c>
      <c r="P34" s="1120">
        <v>97.2</v>
      </c>
      <c r="Q34" s="1097"/>
      <c r="R34" s="1121">
        <v>348961</v>
      </c>
      <c r="S34" s="1123">
        <v>85.5</v>
      </c>
      <c r="T34" s="1159">
        <v>39031898</v>
      </c>
      <c r="U34" s="1123">
        <v>74.099999999999994</v>
      </c>
      <c r="V34" s="1122">
        <v>150.9</v>
      </c>
      <c r="W34" s="1122">
        <v>19.100000000000001</v>
      </c>
      <c r="X34" s="1122">
        <v>59.2</v>
      </c>
      <c r="Y34" s="1120">
        <v>73.099999999999994</v>
      </c>
      <c r="Z34" s="1097"/>
      <c r="AA34" s="1125">
        <v>3456</v>
      </c>
      <c r="AB34" s="1025">
        <v>103.3</v>
      </c>
      <c r="AC34" s="1058">
        <v>4973</v>
      </c>
      <c r="AD34" s="1058">
        <v>3576</v>
      </c>
      <c r="AE34" s="1058" t="s">
        <v>143</v>
      </c>
      <c r="AF34" s="1058">
        <v>1050</v>
      </c>
      <c r="AG34" s="1058">
        <v>347</v>
      </c>
      <c r="AH34" s="1058" t="s">
        <v>143</v>
      </c>
      <c r="AI34" s="1058" t="s">
        <v>143</v>
      </c>
      <c r="AJ34" s="1058">
        <v>39</v>
      </c>
      <c r="AK34" s="1073">
        <v>1315</v>
      </c>
    </row>
    <row r="35" spans="1:37" s="1078" customFormat="1" ht="15.75" customHeight="1" x14ac:dyDescent="0.2">
      <c r="A35" s="1093" t="s">
        <v>182</v>
      </c>
      <c r="B35" s="1126">
        <v>13649</v>
      </c>
      <c r="C35" s="1028">
        <v>3729.3</v>
      </c>
      <c r="D35" s="1028">
        <v>88.4</v>
      </c>
      <c r="E35" s="1028">
        <v>179.6</v>
      </c>
      <c r="F35" s="1030">
        <v>3461.3</v>
      </c>
      <c r="G35" s="1096"/>
      <c r="H35" s="1037">
        <v>403</v>
      </c>
      <c r="I35" s="1127">
        <v>10.130000000000001</v>
      </c>
      <c r="J35" s="1097"/>
      <c r="K35" s="1037">
        <v>16</v>
      </c>
      <c r="L35" s="1028">
        <v>299451</v>
      </c>
      <c r="M35" s="1127">
        <v>79.599999999999994</v>
      </c>
      <c r="N35" s="1128">
        <v>30166378</v>
      </c>
      <c r="O35" s="1129">
        <v>76.900000000000006</v>
      </c>
      <c r="P35" s="1127">
        <v>90.9</v>
      </c>
      <c r="Q35" s="1097"/>
      <c r="R35" s="1128">
        <v>375279</v>
      </c>
      <c r="S35" s="1130">
        <v>99.8</v>
      </c>
      <c r="T35" s="1131">
        <v>37827050</v>
      </c>
      <c r="U35" s="1130">
        <v>93.1</v>
      </c>
      <c r="V35" s="1129">
        <v>108.3</v>
      </c>
      <c r="W35" s="1129">
        <v>18.600000000000001</v>
      </c>
      <c r="X35" s="1129">
        <v>46.9</v>
      </c>
      <c r="Y35" s="1127">
        <v>100</v>
      </c>
      <c r="Z35" s="1097"/>
      <c r="AA35" s="1132">
        <v>2729</v>
      </c>
      <c r="AB35" s="1016">
        <v>94.8</v>
      </c>
      <c r="AC35" s="1023">
        <v>6426</v>
      </c>
      <c r="AD35" s="1023">
        <v>3851</v>
      </c>
      <c r="AE35" s="1023" t="s">
        <v>143</v>
      </c>
      <c r="AF35" s="1023">
        <v>2575</v>
      </c>
      <c r="AG35" s="1023" t="s">
        <v>143</v>
      </c>
      <c r="AH35" s="1023" t="s">
        <v>143</v>
      </c>
      <c r="AI35" s="1023" t="s">
        <v>143</v>
      </c>
      <c r="AJ35" s="1023">
        <v>10</v>
      </c>
      <c r="AK35" s="1074">
        <v>337</v>
      </c>
    </row>
    <row r="36" spans="1:37" s="1078" customFormat="1" ht="15.75" customHeight="1" x14ac:dyDescent="0.2">
      <c r="A36" s="1106" t="s">
        <v>183</v>
      </c>
      <c r="B36" s="1119">
        <v>6883</v>
      </c>
      <c r="C36" s="1032">
        <v>2481</v>
      </c>
      <c r="D36" s="1032">
        <v>66</v>
      </c>
      <c r="E36" s="1032">
        <v>277</v>
      </c>
      <c r="F36" s="1034">
        <v>2138</v>
      </c>
      <c r="G36" s="1096"/>
      <c r="H36" s="1036">
        <v>254</v>
      </c>
      <c r="I36" s="1120">
        <v>11.07</v>
      </c>
      <c r="J36" s="1097"/>
      <c r="K36" s="1036">
        <v>11</v>
      </c>
      <c r="L36" s="1032">
        <v>344849</v>
      </c>
      <c r="M36" s="1120">
        <v>89.1</v>
      </c>
      <c r="N36" s="1121">
        <v>32387188</v>
      </c>
      <c r="O36" s="1122">
        <v>90.81</v>
      </c>
      <c r="P36" s="1120">
        <v>95.49</v>
      </c>
      <c r="Q36" s="1097"/>
      <c r="R36" s="1121">
        <v>383239</v>
      </c>
      <c r="S36" s="1123">
        <v>99</v>
      </c>
      <c r="T36" s="1124">
        <v>40308671</v>
      </c>
      <c r="U36" s="1123">
        <v>97.56</v>
      </c>
      <c r="V36" s="1122">
        <v>105.17893794733834</v>
      </c>
      <c r="W36" s="1122">
        <v>12.3</v>
      </c>
      <c r="X36" s="1122">
        <v>98.2</v>
      </c>
      <c r="Y36" s="1120">
        <v>100</v>
      </c>
      <c r="Z36" s="1097"/>
      <c r="AA36" s="1125">
        <v>3242</v>
      </c>
      <c r="AB36" s="1025">
        <v>87.454966070326961</v>
      </c>
      <c r="AC36" s="1058">
        <v>4533</v>
      </c>
      <c r="AD36" s="1058">
        <v>2833</v>
      </c>
      <c r="AE36" s="1058" t="s">
        <v>143</v>
      </c>
      <c r="AF36" s="1058">
        <v>1700</v>
      </c>
      <c r="AG36" s="1058" t="s">
        <v>143</v>
      </c>
      <c r="AH36" s="1058" t="s">
        <v>143</v>
      </c>
      <c r="AI36" s="1058" t="s">
        <v>143</v>
      </c>
      <c r="AJ36" s="1058">
        <v>17</v>
      </c>
      <c r="AK36" s="1073">
        <v>563</v>
      </c>
    </row>
    <row r="37" spans="1:37" s="1078" customFormat="1" ht="15.75" customHeight="1" x14ac:dyDescent="0.2">
      <c r="A37" s="1093" t="s">
        <v>184</v>
      </c>
      <c r="B37" s="1126">
        <v>10575</v>
      </c>
      <c r="C37" s="1028">
        <v>2497</v>
      </c>
      <c r="D37" s="1028">
        <v>30</v>
      </c>
      <c r="E37" s="1028">
        <v>131.29599999999999</v>
      </c>
      <c r="F37" s="1030">
        <v>2336.4839999999999</v>
      </c>
      <c r="G37" s="1096"/>
      <c r="H37" s="1031">
        <v>138</v>
      </c>
      <c r="I37" s="1127">
        <v>4.75</v>
      </c>
      <c r="J37" s="1097"/>
      <c r="K37" s="1037">
        <v>2</v>
      </c>
      <c r="L37" s="1028">
        <v>262117</v>
      </c>
      <c r="M37" s="1127">
        <v>68.099999999999994</v>
      </c>
      <c r="N37" s="1128">
        <v>25805603</v>
      </c>
      <c r="O37" s="1160">
        <v>69.2</v>
      </c>
      <c r="P37" s="1127">
        <v>84</v>
      </c>
      <c r="Q37" s="1097"/>
      <c r="R37" s="1128">
        <v>377886</v>
      </c>
      <c r="S37" s="1130">
        <v>98.2</v>
      </c>
      <c r="T37" s="1131">
        <v>37111124</v>
      </c>
      <c r="U37" s="1130">
        <v>91.1</v>
      </c>
      <c r="V37" s="1129">
        <v>98.2</v>
      </c>
      <c r="W37" s="1129">
        <v>9.6999999999999993</v>
      </c>
      <c r="X37" s="1129">
        <v>47.2</v>
      </c>
      <c r="Y37" s="1127">
        <v>91.4</v>
      </c>
      <c r="Z37" s="1097"/>
      <c r="AA37" s="1132">
        <v>2532</v>
      </c>
      <c r="AB37" s="1016">
        <v>104.58</v>
      </c>
      <c r="AC37" s="1023">
        <v>5560</v>
      </c>
      <c r="AD37" s="1023">
        <v>2773</v>
      </c>
      <c r="AE37" s="1023" t="s">
        <v>143</v>
      </c>
      <c r="AF37" s="1023">
        <v>2787</v>
      </c>
      <c r="AG37" s="1023" t="s">
        <v>143</v>
      </c>
      <c r="AH37" s="1023" t="s">
        <v>143</v>
      </c>
      <c r="AI37" s="1023" t="s">
        <v>143</v>
      </c>
      <c r="AJ37" s="1023">
        <v>16</v>
      </c>
      <c r="AK37" s="1074">
        <v>556</v>
      </c>
    </row>
    <row r="38" spans="1:37" s="1078" customFormat="1" ht="15.75" customHeight="1" x14ac:dyDescent="0.2">
      <c r="A38" s="1106" t="s">
        <v>185</v>
      </c>
      <c r="B38" s="1107">
        <v>5920</v>
      </c>
      <c r="C38" s="1040">
        <v>3394</v>
      </c>
      <c r="D38" s="1040">
        <v>203</v>
      </c>
      <c r="E38" s="1040">
        <v>596</v>
      </c>
      <c r="F38" s="1108">
        <v>2595</v>
      </c>
      <c r="G38" s="1096"/>
      <c r="H38" s="1161">
        <v>185</v>
      </c>
      <c r="I38" s="1109">
        <v>10.97</v>
      </c>
      <c r="J38" s="1097"/>
      <c r="K38" s="1039">
        <v>2</v>
      </c>
      <c r="L38" s="1134">
        <v>313680</v>
      </c>
      <c r="M38" s="1135">
        <v>73.971885589772981</v>
      </c>
      <c r="N38" s="1136">
        <v>30387646</v>
      </c>
      <c r="O38" s="1162">
        <v>92.406599613425257</v>
      </c>
      <c r="P38" s="1135">
        <v>89.802000000000007</v>
      </c>
      <c r="Q38" s="1097"/>
      <c r="R38" s="1136">
        <v>423822</v>
      </c>
      <c r="S38" s="1138">
        <v>99.96</v>
      </c>
      <c r="T38" s="1139">
        <v>45123410</v>
      </c>
      <c r="U38" s="1138">
        <v>89.06</v>
      </c>
      <c r="V38" s="1137">
        <v>106.47</v>
      </c>
      <c r="W38" s="1137">
        <v>19.760000000000002</v>
      </c>
      <c r="X38" s="1137">
        <v>81.5</v>
      </c>
      <c r="Y38" s="1135">
        <v>70.400000000000006</v>
      </c>
      <c r="Z38" s="1097"/>
      <c r="AA38" s="1114">
        <v>2630</v>
      </c>
      <c r="AB38" s="1115">
        <v>93.43</v>
      </c>
      <c r="AC38" s="1058">
        <v>8192</v>
      </c>
      <c r="AD38" s="1049">
        <v>2086</v>
      </c>
      <c r="AE38" s="1049">
        <v>0</v>
      </c>
      <c r="AF38" s="1049">
        <v>5079</v>
      </c>
      <c r="AG38" s="1049">
        <v>48</v>
      </c>
      <c r="AH38" s="1049">
        <v>979</v>
      </c>
      <c r="AI38" s="1049">
        <v>0</v>
      </c>
      <c r="AJ38" s="1049">
        <v>13</v>
      </c>
      <c r="AK38" s="1116">
        <v>403</v>
      </c>
    </row>
    <row r="39" spans="1:37" s="1078" customFormat="1" ht="15.75" customHeight="1" x14ac:dyDescent="0.2">
      <c r="A39" s="1093" t="s">
        <v>186</v>
      </c>
      <c r="B39" s="1094">
        <v>6365</v>
      </c>
      <c r="C39" s="1027">
        <v>1832</v>
      </c>
      <c r="D39" s="1027">
        <v>99.7</v>
      </c>
      <c r="E39" s="1027">
        <v>213.4</v>
      </c>
      <c r="F39" s="1117">
        <v>1518.6</v>
      </c>
      <c r="G39" s="1096"/>
      <c r="H39" s="1038">
        <v>224</v>
      </c>
      <c r="I39" s="1092">
        <v>9.9996215980206671</v>
      </c>
      <c r="J39" s="1097"/>
      <c r="K39" s="1038">
        <v>4</v>
      </c>
      <c r="L39" s="1027">
        <v>338363</v>
      </c>
      <c r="M39" s="1092">
        <v>98.5</v>
      </c>
      <c r="N39" s="1076">
        <v>36856890</v>
      </c>
      <c r="O39" s="1091">
        <v>80.599999999999994</v>
      </c>
      <c r="P39" s="1092">
        <v>99</v>
      </c>
      <c r="Q39" s="1097"/>
      <c r="R39" s="1076">
        <v>342048</v>
      </c>
      <c r="S39" s="1101">
        <v>100</v>
      </c>
      <c r="T39" s="1102">
        <v>38378708</v>
      </c>
      <c r="U39" s="1101">
        <v>95.1</v>
      </c>
      <c r="V39" s="1091">
        <v>112.2</v>
      </c>
      <c r="W39" s="1091">
        <v>30.4</v>
      </c>
      <c r="X39" s="1101">
        <v>2.8</v>
      </c>
      <c r="Y39" s="1092">
        <v>52.6</v>
      </c>
      <c r="Z39" s="1097"/>
      <c r="AA39" s="1103">
        <v>2463</v>
      </c>
      <c r="AB39" s="1104">
        <v>92.5</v>
      </c>
      <c r="AC39" s="1090">
        <v>5972</v>
      </c>
      <c r="AD39" s="1090">
        <v>2941</v>
      </c>
      <c r="AE39" s="1090" t="s">
        <v>143</v>
      </c>
      <c r="AF39" s="1090">
        <v>991</v>
      </c>
      <c r="AG39" s="1090" t="s">
        <v>143</v>
      </c>
      <c r="AH39" s="1090">
        <v>2040</v>
      </c>
      <c r="AI39" s="1090" t="s">
        <v>143</v>
      </c>
      <c r="AJ39" s="1090">
        <v>19</v>
      </c>
      <c r="AK39" s="1105">
        <v>575</v>
      </c>
    </row>
    <row r="40" spans="1:37" s="1078" customFormat="1" ht="15.75" customHeight="1" x14ac:dyDescent="0.2">
      <c r="A40" s="1106" t="s">
        <v>187</v>
      </c>
      <c r="B40" s="193">
        <v>3878</v>
      </c>
      <c r="C40" s="747">
        <f>D40+E40+F40</f>
        <v>703</v>
      </c>
      <c r="D40" s="193">
        <v>13</v>
      </c>
      <c r="E40" s="747">
        <v>40</v>
      </c>
      <c r="F40" s="193">
        <v>650</v>
      </c>
      <c r="G40" s="1406"/>
      <c r="H40" s="193">
        <v>424</v>
      </c>
      <c r="I40" s="747">
        <v>3.9</v>
      </c>
      <c r="J40" s="1097"/>
      <c r="K40" s="1039">
        <v>1</v>
      </c>
      <c r="L40" s="1040">
        <v>400710</v>
      </c>
      <c r="M40" s="1109">
        <v>99.9</v>
      </c>
      <c r="N40" s="1110">
        <v>43912670</v>
      </c>
      <c r="O40" s="1111">
        <v>67.900000000000006</v>
      </c>
      <c r="P40" s="1109">
        <v>100</v>
      </c>
      <c r="Q40" s="1097"/>
      <c r="R40" s="1110">
        <v>400730</v>
      </c>
      <c r="S40" s="1112">
        <v>100</v>
      </c>
      <c r="T40" s="1113">
        <v>42174133</v>
      </c>
      <c r="U40" s="1112">
        <v>97.2</v>
      </c>
      <c r="V40" s="1111">
        <v>105.2</v>
      </c>
      <c r="W40" s="1111">
        <v>25.1</v>
      </c>
      <c r="X40" s="1111">
        <v>0</v>
      </c>
      <c r="Y40" s="1109">
        <v>100</v>
      </c>
      <c r="Z40" s="1097"/>
      <c r="AA40" s="1125">
        <v>2521</v>
      </c>
      <c r="AB40" s="1025">
        <v>82.1</v>
      </c>
      <c r="AC40" s="1049">
        <f>SUM(AD40:AI40)</f>
        <v>16562</v>
      </c>
      <c r="AD40" s="1049">
        <v>2389</v>
      </c>
      <c r="AE40" s="1049">
        <v>0</v>
      </c>
      <c r="AF40" s="1049">
        <v>5127</v>
      </c>
      <c r="AG40" s="1049">
        <v>1314</v>
      </c>
      <c r="AH40" s="1049">
        <v>7732</v>
      </c>
      <c r="AI40" s="1049">
        <v>0</v>
      </c>
      <c r="AJ40" s="1049">
        <v>34</v>
      </c>
      <c r="AK40" s="1116">
        <v>1406</v>
      </c>
    </row>
    <row r="41" spans="1:37" s="1078" customFormat="1" ht="15.75" customHeight="1" x14ac:dyDescent="0.2">
      <c r="A41" s="1093" t="s">
        <v>846</v>
      </c>
      <c r="B41" s="1094">
        <v>3011</v>
      </c>
      <c r="C41" s="1027">
        <v>591</v>
      </c>
      <c r="D41" s="1027">
        <v>9</v>
      </c>
      <c r="E41" s="1027">
        <v>44</v>
      </c>
      <c r="F41" s="1117">
        <v>538.2681</v>
      </c>
      <c r="G41" s="1096"/>
      <c r="H41" s="1038">
        <v>135</v>
      </c>
      <c r="I41" s="1092">
        <v>8.7100000000000009</v>
      </c>
      <c r="J41" s="1097"/>
      <c r="K41" s="1038">
        <v>2</v>
      </c>
      <c r="L41" s="1027">
        <v>373618</v>
      </c>
      <c r="M41" s="1092">
        <v>99.9</v>
      </c>
      <c r="N41" s="1076">
        <v>43136368</v>
      </c>
      <c r="O41" s="1091">
        <v>73.64</v>
      </c>
      <c r="P41" s="1092">
        <v>99.91</v>
      </c>
      <c r="Q41" s="1097"/>
      <c r="R41" s="1076">
        <v>373515</v>
      </c>
      <c r="S41" s="1101">
        <v>99.9</v>
      </c>
      <c r="T41" s="1102">
        <v>39819816</v>
      </c>
      <c r="U41" s="1101">
        <v>96.2</v>
      </c>
      <c r="V41" s="1091">
        <f>39819816/373515</f>
        <v>106.60834504638368</v>
      </c>
      <c r="W41" s="1091">
        <v>20.399999999999999</v>
      </c>
      <c r="X41" s="1091">
        <v>0</v>
      </c>
      <c r="Y41" s="1092">
        <v>90.3</v>
      </c>
      <c r="Z41" s="1097"/>
      <c r="AA41" s="1103">
        <v>3541</v>
      </c>
      <c r="AB41" s="1104">
        <v>75.23</v>
      </c>
      <c r="AC41" s="1090">
        <v>20479</v>
      </c>
      <c r="AD41" s="1090">
        <v>1177</v>
      </c>
      <c r="AE41" s="1090" t="s">
        <v>143</v>
      </c>
      <c r="AF41" s="1090">
        <v>9002</v>
      </c>
      <c r="AG41" s="1090">
        <v>2312</v>
      </c>
      <c r="AH41" s="1090">
        <v>7470</v>
      </c>
      <c r="AI41" s="1090" t="s">
        <v>143</v>
      </c>
      <c r="AJ41" s="1090">
        <v>17</v>
      </c>
      <c r="AK41" s="1105">
        <v>715</v>
      </c>
    </row>
    <row r="42" spans="1:37" s="1078" customFormat="1" ht="15.75" customHeight="1" x14ac:dyDescent="0.2">
      <c r="A42" s="1106" t="s">
        <v>190</v>
      </c>
      <c r="B42" s="1107">
        <v>6392</v>
      </c>
      <c r="C42" s="1040">
        <v>1000</v>
      </c>
      <c r="D42" s="1040">
        <v>13</v>
      </c>
      <c r="E42" s="1040">
        <v>80</v>
      </c>
      <c r="F42" s="1108">
        <v>907</v>
      </c>
      <c r="G42" s="1096"/>
      <c r="H42" s="1039">
        <v>221</v>
      </c>
      <c r="I42" s="1109">
        <v>5.4</v>
      </c>
      <c r="J42" s="1097"/>
      <c r="K42" s="1163" t="s">
        <v>143</v>
      </c>
      <c r="L42" s="1040">
        <v>349638</v>
      </c>
      <c r="M42" s="1164">
        <v>99.6</v>
      </c>
      <c r="N42" s="1157">
        <v>35490990</v>
      </c>
      <c r="O42" s="1165">
        <v>78.7</v>
      </c>
      <c r="P42" s="1164">
        <v>99.7</v>
      </c>
      <c r="Q42" s="1166"/>
      <c r="R42" s="1157">
        <v>350955</v>
      </c>
      <c r="S42" s="1167">
        <v>99.99</v>
      </c>
      <c r="T42" s="1140">
        <v>34805687</v>
      </c>
      <c r="U42" s="1167">
        <v>94.68</v>
      </c>
      <c r="V42" s="1165">
        <v>99.17</v>
      </c>
      <c r="W42" s="1165">
        <v>17.399999999999999</v>
      </c>
      <c r="X42" s="1165">
        <v>100</v>
      </c>
      <c r="Y42" s="1164">
        <v>99.8</v>
      </c>
      <c r="Z42" s="1166"/>
      <c r="AA42" s="1114">
        <v>2404</v>
      </c>
      <c r="AB42" s="1115">
        <v>89</v>
      </c>
      <c r="AC42" s="1049">
        <v>14998</v>
      </c>
      <c r="AD42" s="1049">
        <v>522</v>
      </c>
      <c r="AE42" s="1040" t="s">
        <v>143</v>
      </c>
      <c r="AF42" s="1049">
        <v>6607</v>
      </c>
      <c r="AG42" s="1040">
        <v>1710</v>
      </c>
      <c r="AH42" s="1049">
        <v>6159</v>
      </c>
      <c r="AI42" s="1049" t="s">
        <v>143</v>
      </c>
      <c r="AJ42" s="1049">
        <v>15</v>
      </c>
      <c r="AK42" s="1116">
        <v>687</v>
      </c>
    </row>
    <row r="43" spans="1:37" s="1078" customFormat="1" ht="15.75" customHeight="1" x14ac:dyDescent="0.2">
      <c r="A43" s="1093" t="s">
        <v>191</v>
      </c>
      <c r="B43" s="1094">
        <v>4230</v>
      </c>
      <c r="C43" s="1027">
        <v>878.21199999999999</v>
      </c>
      <c r="D43" s="1027">
        <v>27.457000000000001</v>
      </c>
      <c r="E43" s="1027">
        <v>65.061999999999998</v>
      </c>
      <c r="F43" s="1117">
        <v>785.69299999999998</v>
      </c>
      <c r="G43" s="1096"/>
      <c r="H43" s="1038">
        <v>514</v>
      </c>
      <c r="I43" s="1092">
        <v>5.55</v>
      </c>
      <c r="J43" s="1097"/>
      <c r="K43" s="1038">
        <v>0</v>
      </c>
      <c r="L43" s="1027">
        <v>386793</v>
      </c>
      <c r="M43" s="1092">
        <v>96.7</v>
      </c>
      <c r="N43" s="1076">
        <v>39126714</v>
      </c>
      <c r="O43" s="1091">
        <v>87.2</v>
      </c>
      <c r="P43" s="1092">
        <v>98.9</v>
      </c>
      <c r="Q43" s="1097"/>
      <c r="R43" s="1076">
        <v>399933</v>
      </c>
      <c r="S43" s="1101">
        <v>100</v>
      </c>
      <c r="T43" s="1102">
        <v>41745634</v>
      </c>
      <c r="U43" s="1101">
        <v>92.4</v>
      </c>
      <c r="V43" s="1091">
        <f>T43/R43</f>
        <v>104.38156891279289</v>
      </c>
      <c r="W43" s="1091">
        <v>26.1</v>
      </c>
      <c r="X43" s="1091">
        <v>0</v>
      </c>
      <c r="Y43" s="1092">
        <v>53.5</v>
      </c>
      <c r="Z43" s="1097"/>
      <c r="AA43" s="1103">
        <v>1984</v>
      </c>
      <c r="AB43" s="1104">
        <v>91.1</v>
      </c>
      <c r="AC43" s="1090">
        <v>14667</v>
      </c>
      <c r="AD43" s="1090">
        <v>28</v>
      </c>
      <c r="AE43" s="1090">
        <v>0</v>
      </c>
      <c r="AF43" s="1090">
        <v>7854</v>
      </c>
      <c r="AG43" s="1090">
        <v>1030</v>
      </c>
      <c r="AH43" s="1090">
        <v>5755</v>
      </c>
      <c r="AI43" s="1090">
        <v>0</v>
      </c>
      <c r="AJ43" s="1090">
        <v>30</v>
      </c>
      <c r="AK43" s="1105">
        <v>1328</v>
      </c>
    </row>
    <row r="44" spans="1:37" s="1078" customFormat="1" ht="15.75" customHeight="1" x14ac:dyDescent="0.2">
      <c r="A44" s="1106" t="s">
        <v>253</v>
      </c>
      <c r="B44" s="1107">
        <v>4280</v>
      </c>
      <c r="C44" s="1032">
        <v>664</v>
      </c>
      <c r="D44" s="1032">
        <v>5</v>
      </c>
      <c r="E44" s="1032">
        <v>51</v>
      </c>
      <c r="F44" s="1034">
        <v>608</v>
      </c>
      <c r="G44" s="1096"/>
      <c r="H44" s="1039">
        <v>307</v>
      </c>
      <c r="I44" s="1109">
        <v>2.84</v>
      </c>
      <c r="J44" s="1097"/>
      <c r="K44" s="1039">
        <v>0</v>
      </c>
      <c r="L44" s="1040">
        <v>238885</v>
      </c>
      <c r="M44" s="1109">
        <v>89.8</v>
      </c>
      <c r="N44" s="1110">
        <v>26968357</v>
      </c>
      <c r="O44" s="1111">
        <v>58.4</v>
      </c>
      <c r="P44" s="1109">
        <v>92.6</v>
      </c>
      <c r="Q44" s="1097"/>
      <c r="R44" s="1110">
        <v>265857</v>
      </c>
      <c r="S44" s="1112">
        <v>99.9</v>
      </c>
      <c r="T44" s="1113">
        <v>29219674</v>
      </c>
      <c r="U44" s="1112">
        <v>94.5</v>
      </c>
      <c r="V44" s="1111">
        <v>116.4</v>
      </c>
      <c r="W44" s="1111">
        <v>21.6</v>
      </c>
      <c r="X44" s="1111">
        <v>0</v>
      </c>
      <c r="Y44" s="1109">
        <v>46.5</v>
      </c>
      <c r="Z44" s="1097"/>
      <c r="AA44" s="1114">
        <v>1322</v>
      </c>
      <c r="AB44" s="1115">
        <v>90.68</v>
      </c>
      <c r="AC44" s="1049">
        <v>6469</v>
      </c>
      <c r="AD44" s="1049">
        <v>1870</v>
      </c>
      <c r="AE44" s="1049" t="s">
        <v>143</v>
      </c>
      <c r="AF44" s="1049">
        <v>3979</v>
      </c>
      <c r="AG44" s="1049">
        <v>104</v>
      </c>
      <c r="AH44" s="1049">
        <v>516</v>
      </c>
      <c r="AI44" s="1049">
        <v>0</v>
      </c>
      <c r="AJ44" s="1049">
        <v>45</v>
      </c>
      <c r="AK44" s="1116">
        <v>1672</v>
      </c>
    </row>
    <row r="45" spans="1:37" s="1078" customFormat="1" ht="15.75" customHeight="1" x14ac:dyDescent="0.2">
      <c r="A45" s="1093" t="s">
        <v>193</v>
      </c>
      <c r="B45" s="1168">
        <v>2050</v>
      </c>
      <c r="C45" s="1027">
        <v>374</v>
      </c>
      <c r="D45" s="1027">
        <v>19</v>
      </c>
      <c r="E45" s="1027">
        <v>35</v>
      </c>
      <c r="F45" s="1117">
        <v>320</v>
      </c>
      <c r="G45" s="1096"/>
      <c r="H45" s="1038">
        <v>77</v>
      </c>
      <c r="I45" s="1092">
        <v>5.7</v>
      </c>
      <c r="J45" s="1097"/>
      <c r="K45" s="1038" t="s">
        <v>143</v>
      </c>
      <c r="L45" s="1169">
        <v>230554</v>
      </c>
      <c r="M45" s="1170">
        <v>99.7</v>
      </c>
      <c r="N45" s="1142">
        <v>23288602</v>
      </c>
      <c r="O45" s="1171">
        <v>66.8</v>
      </c>
      <c r="P45" s="1170">
        <v>99.7</v>
      </c>
      <c r="Q45" s="1097"/>
      <c r="R45" s="1142">
        <v>231189</v>
      </c>
      <c r="S45" s="1172">
        <v>100</v>
      </c>
      <c r="T45" s="1118">
        <v>23152781</v>
      </c>
      <c r="U45" s="1172">
        <v>96.8</v>
      </c>
      <c r="V45" s="1171">
        <v>100.1</v>
      </c>
      <c r="W45" s="1171">
        <v>9.9</v>
      </c>
      <c r="X45" s="1171" t="s">
        <v>143</v>
      </c>
      <c r="Y45" s="1170">
        <v>100</v>
      </c>
      <c r="Z45" s="1166"/>
      <c r="AA45" s="1173">
        <v>955</v>
      </c>
      <c r="AB45" s="1104">
        <v>83</v>
      </c>
      <c r="AC45" s="1090">
        <v>8361</v>
      </c>
      <c r="AD45" s="1090">
        <v>464</v>
      </c>
      <c r="AE45" s="1090" t="s">
        <v>143</v>
      </c>
      <c r="AF45" s="1090">
        <v>4772</v>
      </c>
      <c r="AG45" s="1090">
        <v>1540</v>
      </c>
      <c r="AH45" s="1090">
        <v>1585</v>
      </c>
      <c r="AI45" s="1090" t="s">
        <v>143</v>
      </c>
      <c r="AJ45" s="1090">
        <v>15</v>
      </c>
      <c r="AK45" s="1105">
        <v>575</v>
      </c>
    </row>
    <row r="46" spans="1:37" s="1078" customFormat="1" ht="15.75" customHeight="1" x14ac:dyDescent="0.2">
      <c r="A46" s="1106" t="s">
        <v>194</v>
      </c>
      <c r="B46" s="1107">
        <v>4710</v>
      </c>
      <c r="C46" s="1032">
        <v>937</v>
      </c>
      <c r="D46" s="1032">
        <v>23</v>
      </c>
      <c r="E46" s="1032">
        <v>52</v>
      </c>
      <c r="F46" s="1034">
        <v>862</v>
      </c>
      <c r="G46" s="1096"/>
      <c r="H46" s="1036">
        <v>257</v>
      </c>
      <c r="I46" s="1120">
        <v>2.85</v>
      </c>
      <c r="J46" s="1097"/>
      <c r="K46" s="1039">
        <v>0</v>
      </c>
      <c r="L46" s="1040">
        <v>482004</v>
      </c>
      <c r="M46" s="1109">
        <v>98.8</v>
      </c>
      <c r="N46" s="1110">
        <v>51842501</v>
      </c>
      <c r="O46" s="1111">
        <v>56.6</v>
      </c>
      <c r="P46" s="1109">
        <v>98.8</v>
      </c>
      <c r="Q46" s="1097"/>
      <c r="R46" s="1110">
        <v>487383</v>
      </c>
      <c r="S46" s="1112">
        <v>99.9</v>
      </c>
      <c r="T46" s="1113">
        <v>52854503</v>
      </c>
      <c r="U46" s="1112">
        <v>94.63</v>
      </c>
      <c r="V46" s="1111">
        <v>108.44499999999999</v>
      </c>
      <c r="W46" s="1111">
        <v>15.8</v>
      </c>
      <c r="X46" s="1111">
        <v>100</v>
      </c>
      <c r="Y46" s="1109">
        <v>48.7</v>
      </c>
      <c r="Z46" s="1097"/>
      <c r="AA46" s="1125">
        <v>3789</v>
      </c>
      <c r="AB46" s="1025">
        <v>64.099999999999994</v>
      </c>
      <c r="AC46" s="1049">
        <v>10932</v>
      </c>
      <c r="AD46" s="1049">
        <v>3473</v>
      </c>
      <c r="AE46" s="1049" t="s">
        <v>143</v>
      </c>
      <c r="AF46" s="1049">
        <v>5574</v>
      </c>
      <c r="AG46" s="1049">
        <v>422</v>
      </c>
      <c r="AH46" s="1049">
        <v>1463</v>
      </c>
      <c r="AI46" s="1049" t="s">
        <v>143</v>
      </c>
      <c r="AJ46" s="1049">
        <v>56</v>
      </c>
      <c r="AK46" s="1116">
        <v>1879</v>
      </c>
    </row>
    <row r="47" spans="1:37" s="1078" customFormat="1" ht="15.75" customHeight="1" x14ac:dyDescent="0.2">
      <c r="A47" s="1093" t="s">
        <v>195</v>
      </c>
      <c r="B47" s="1094">
        <v>10354</v>
      </c>
      <c r="C47" s="1027">
        <v>3009</v>
      </c>
      <c r="D47" s="1027">
        <v>134</v>
      </c>
      <c r="E47" s="1027">
        <v>339</v>
      </c>
      <c r="F47" s="1117">
        <v>2536</v>
      </c>
      <c r="G47" s="1096"/>
      <c r="H47" s="1038">
        <v>920</v>
      </c>
      <c r="I47" s="1092">
        <v>8.8000000000000007</v>
      </c>
      <c r="J47" s="1097"/>
      <c r="K47" s="1038">
        <v>7</v>
      </c>
      <c r="L47" s="1027">
        <v>493909</v>
      </c>
      <c r="M47" s="1092">
        <v>92.4</v>
      </c>
      <c r="N47" s="1076">
        <v>52440289</v>
      </c>
      <c r="O47" s="1091">
        <v>68.400000000000006</v>
      </c>
      <c r="P47" s="1092">
        <v>98.4</v>
      </c>
      <c r="Q47" s="1097"/>
      <c r="R47" s="1076">
        <v>532708</v>
      </c>
      <c r="S47" s="1130">
        <f>0.996*100</f>
        <v>99.6</v>
      </c>
      <c r="T47" s="1118">
        <v>55047668</v>
      </c>
      <c r="U47" s="1130">
        <f>0.91*100</f>
        <v>91</v>
      </c>
      <c r="V47" s="1091">
        <v>113.6</v>
      </c>
      <c r="W47" s="1129">
        <f>0.11*100</f>
        <v>11</v>
      </c>
      <c r="X47" s="1091">
        <f>0.116*100</f>
        <v>11.600000000000001</v>
      </c>
      <c r="Y47" s="1092">
        <f>0.375*100</f>
        <v>37.5</v>
      </c>
      <c r="Z47" s="1097"/>
      <c r="AA47" s="1103">
        <v>3599</v>
      </c>
      <c r="AB47" s="1104">
        <f>340364/AA47</f>
        <v>94.571825507085308</v>
      </c>
      <c r="AC47" s="1090">
        <f>AD47+AE47+AF47+AG47+AH47+AI47</f>
        <v>11780</v>
      </c>
      <c r="AD47" s="1090">
        <v>5933</v>
      </c>
      <c r="AE47" s="1090">
        <v>0</v>
      </c>
      <c r="AF47" s="1090">
        <v>5487</v>
      </c>
      <c r="AG47" s="1090">
        <v>360</v>
      </c>
      <c r="AH47" s="1090">
        <v>0</v>
      </c>
      <c r="AI47" s="1090">
        <v>0</v>
      </c>
      <c r="AJ47" s="1090">
        <v>51</v>
      </c>
      <c r="AK47" s="1105">
        <v>1814</v>
      </c>
    </row>
    <row r="48" spans="1:37" s="1078" customFormat="1" ht="15.75" customHeight="1" x14ac:dyDescent="0.2">
      <c r="A48" s="1106" t="s">
        <v>196</v>
      </c>
      <c r="B48" s="1107">
        <v>4305</v>
      </c>
      <c r="C48" s="1032">
        <v>897</v>
      </c>
      <c r="D48" s="1032">
        <v>12</v>
      </c>
      <c r="E48" s="1032">
        <v>45</v>
      </c>
      <c r="F48" s="1034">
        <v>840</v>
      </c>
      <c r="G48" s="1096"/>
      <c r="H48" s="1039">
        <v>345</v>
      </c>
      <c r="I48" s="1109">
        <v>4.5999999999999996</v>
      </c>
      <c r="J48" s="1097"/>
      <c r="K48" s="1039">
        <v>2</v>
      </c>
      <c r="L48" s="1040">
        <v>451440</v>
      </c>
      <c r="M48" s="1109">
        <v>100</v>
      </c>
      <c r="N48" s="1157">
        <v>54710074</v>
      </c>
      <c r="O48" s="1111">
        <v>72</v>
      </c>
      <c r="P48" s="1109">
        <v>100</v>
      </c>
      <c r="Q48" s="1097"/>
      <c r="R48" s="1110">
        <v>451481</v>
      </c>
      <c r="S48" s="1112">
        <v>100</v>
      </c>
      <c r="T48" s="1113">
        <v>49847826</v>
      </c>
      <c r="U48" s="1112">
        <v>93.1</v>
      </c>
      <c r="V48" s="1111">
        <v>118.6</v>
      </c>
      <c r="W48" s="1111">
        <v>24.4</v>
      </c>
      <c r="X48" s="1111">
        <v>39.299999999999997</v>
      </c>
      <c r="Y48" s="1109">
        <v>78.400000000000006</v>
      </c>
      <c r="Z48" s="1097"/>
      <c r="AA48" s="1125">
        <v>4053</v>
      </c>
      <c r="AB48" s="1025">
        <v>77.3</v>
      </c>
      <c r="AC48" s="1049">
        <v>16653</v>
      </c>
      <c r="AD48" s="1049">
        <v>10599</v>
      </c>
      <c r="AE48" s="1049">
        <v>0</v>
      </c>
      <c r="AF48" s="1049">
        <v>3821</v>
      </c>
      <c r="AG48" s="1049">
        <v>136</v>
      </c>
      <c r="AH48" s="1049">
        <v>2097</v>
      </c>
      <c r="AI48" s="1049">
        <v>0</v>
      </c>
      <c r="AJ48" s="1049">
        <v>46</v>
      </c>
      <c r="AK48" s="1116">
        <v>1628</v>
      </c>
    </row>
    <row r="49" spans="1:37" s="1078" customFormat="1" ht="15.75" customHeight="1" x14ac:dyDescent="0.2">
      <c r="A49" s="1093" t="s">
        <v>197</v>
      </c>
      <c r="B49" s="1094">
        <v>3174</v>
      </c>
      <c r="C49" s="1027">
        <v>706</v>
      </c>
      <c r="D49" s="1027">
        <v>27</v>
      </c>
      <c r="E49" s="1027">
        <v>35</v>
      </c>
      <c r="F49" s="1117">
        <v>644</v>
      </c>
      <c r="G49" s="1096"/>
      <c r="H49" s="1038">
        <v>429</v>
      </c>
      <c r="I49" s="1092">
        <v>6.91</v>
      </c>
      <c r="J49" s="1097"/>
      <c r="K49" s="1038">
        <v>4</v>
      </c>
      <c r="L49" s="1027">
        <v>302415</v>
      </c>
      <c r="M49" s="1092">
        <v>99.6</v>
      </c>
      <c r="N49" s="1076">
        <v>31418486</v>
      </c>
      <c r="O49" s="1091">
        <v>82.8</v>
      </c>
      <c r="P49" s="1092">
        <v>99.7</v>
      </c>
      <c r="Q49" s="1097"/>
      <c r="R49" s="1076">
        <v>303564</v>
      </c>
      <c r="S49" s="1101">
        <v>99.992000000000004</v>
      </c>
      <c r="T49" s="1102">
        <v>31465043</v>
      </c>
      <c r="U49" s="1101">
        <v>97.2</v>
      </c>
      <c r="V49" s="1091">
        <f>T49/R49</f>
        <v>103.6520898393749</v>
      </c>
      <c r="W49" s="1091">
        <v>41.5</v>
      </c>
      <c r="X49" s="1091">
        <v>33.700000000000003</v>
      </c>
      <c r="Y49" s="1092">
        <v>88.5</v>
      </c>
      <c r="Z49" s="1097"/>
      <c r="AA49" s="1103">
        <v>2159</v>
      </c>
      <c r="AB49" s="1104">
        <v>88.5</v>
      </c>
      <c r="AC49" s="1090">
        <v>9825</v>
      </c>
      <c r="AD49" s="1090">
        <v>2087</v>
      </c>
      <c r="AE49" s="1090" t="s">
        <v>143</v>
      </c>
      <c r="AF49" s="1090">
        <v>4857</v>
      </c>
      <c r="AG49" s="1090">
        <v>232</v>
      </c>
      <c r="AH49" s="1090">
        <v>2649</v>
      </c>
      <c r="AI49" s="1090" t="s">
        <v>143</v>
      </c>
      <c r="AJ49" s="1090">
        <v>24</v>
      </c>
      <c r="AK49" s="1105">
        <v>945</v>
      </c>
    </row>
    <row r="50" spans="1:37" s="1078" customFormat="1" ht="15.75" customHeight="1" x14ac:dyDescent="0.2">
      <c r="A50" s="1106" t="s">
        <v>198</v>
      </c>
      <c r="B50" s="1107">
        <v>3789</v>
      </c>
      <c r="C50" s="1040">
        <v>1109</v>
      </c>
      <c r="D50" s="1040">
        <v>33</v>
      </c>
      <c r="E50" s="1040">
        <v>67</v>
      </c>
      <c r="F50" s="1108">
        <v>1009</v>
      </c>
      <c r="G50" s="1096"/>
      <c r="H50" s="1039">
        <v>523</v>
      </c>
      <c r="I50" s="1109">
        <v>10.029999999999999</v>
      </c>
      <c r="J50" s="1097"/>
      <c r="K50" s="1039">
        <v>3</v>
      </c>
      <c r="L50" s="1040">
        <v>486543</v>
      </c>
      <c r="M50" s="1109">
        <v>99.9</v>
      </c>
      <c r="N50" s="1110">
        <v>53115342</v>
      </c>
      <c r="O50" s="1111">
        <v>74.8</v>
      </c>
      <c r="P50" s="1109">
        <v>99.9</v>
      </c>
      <c r="Q50" s="1097"/>
      <c r="R50" s="1110">
        <v>486686</v>
      </c>
      <c r="S50" s="1112">
        <v>99.9</v>
      </c>
      <c r="T50" s="1113">
        <v>50258919</v>
      </c>
      <c r="U50" s="1112">
        <v>93.7</v>
      </c>
      <c r="V50" s="1111">
        <v>103.26</v>
      </c>
      <c r="W50" s="1111">
        <v>23.73</v>
      </c>
      <c r="X50" s="1111">
        <v>0</v>
      </c>
      <c r="Y50" s="1109">
        <v>53.68</v>
      </c>
      <c r="Z50" s="1097"/>
      <c r="AA50" s="1114">
        <v>3034</v>
      </c>
      <c r="AB50" s="1115">
        <v>85</v>
      </c>
      <c r="AC50" s="1049">
        <v>13591</v>
      </c>
      <c r="AD50" s="1049">
        <v>9209</v>
      </c>
      <c r="AE50" s="1049">
        <v>0</v>
      </c>
      <c r="AF50" s="1049">
        <v>3746</v>
      </c>
      <c r="AG50" s="1049">
        <v>636</v>
      </c>
      <c r="AH50" s="1414">
        <v>10425</v>
      </c>
      <c r="AI50" s="1049">
        <v>0</v>
      </c>
      <c r="AJ50" s="1049">
        <v>27</v>
      </c>
      <c r="AK50" s="1116">
        <v>1630</v>
      </c>
    </row>
    <row r="51" spans="1:37" s="1078" customFormat="1" ht="15.75" customHeight="1" x14ac:dyDescent="0.2">
      <c r="A51" s="1093" t="s">
        <v>200</v>
      </c>
      <c r="B51" s="1094">
        <v>5532</v>
      </c>
      <c r="C51" s="1027">
        <v>1933</v>
      </c>
      <c r="D51" s="1027">
        <v>92</v>
      </c>
      <c r="E51" s="1027">
        <v>210</v>
      </c>
      <c r="F51" s="1117">
        <v>1631</v>
      </c>
      <c r="G51" s="1096"/>
      <c r="H51" s="1038">
        <v>578</v>
      </c>
      <c r="I51" s="1092">
        <v>22</v>
      </c>
      <c r="J51" s="1097"/>
      <c r="K51" s="1038">
        <v>4</v>
      </c>
      <c r="L51" s="1027">
        <v>324998</v>
      </c>
      <c r="M51" s="1092">
        <v>91.4</v>
      </c>
      <c r="N51" s="1142">
        <v>36131108</v>
      </c>
      <c r="O51" s="1091">
        <v>97.6</v>
      </c>
      <c r="P51" s="1092">
        <v>96.4</v>
      </c>
      <c r="Q51" s="1097"/>
      <c r="R51" s="1076">
        <v>348323</v>
      </c>
      <c r="S51" s="1101">
        <v>99.9</v>
      </c>
      <c r="T51" s="1118">
        <v>38303093</v>
      </c>
      <c r="U51" s="1101">
        <v>88.4</v>
      </c>
      <c r="V51" s="1091">
        <v>109.96429463457768</v>
      </c>
      <c r="W51" s="1091">
        <v>19.2</v>
      </c>
      <c r="X51" s="1091">
        <v>46.1</v>
      </c>
      <c r="Y51" s="1092">
        <v>73.400000000000006</v>
      </c>
      <c r="Z51" s="1097"/>
      <c r="AA51" s="1103">
        <v>1815</v>
      </c>
      <c r="AB51" s="1104">
        <v>96.3</v>
      </c>
      <c r="AC51" s="1090">
        <v>15105</v>
      </c>
      <c r="AD51" s="1090">
        <v>2347</v>
      </c>
      <c r="AE51" s="1090" t="s">
        <v>143</v>
      </c>
      <c r="AF51" s="1090">
        <v>2582</v>
      </c>
      <c r="AG51" s="1090" t="s">
        <v>143</v>
      </c>
      <c r="AH51" s="1090">
        <v>10176</v>
      </c>
      <c r="AI51" s="1090" t="s">
        <v>143</v>
      </c>
      <c r="AJ51" s="1090">
        <v>30</v>
      </c>
      <c r="AK51" s="1105">
        <v>1170</v>
      </c>
    </row>
    <row r="52" spans="1:37" s="1078" customFormat="1" ht="15.75" customHeight="1" x14ac:dyDescent="0.2">
      <c r="A52" s="1106" t="s">
        <v>201</v>
      </c>
      <c r="B52" s="1119">
        <v>5171</v>
      </c>
      <c r="C52" s="1032">
        <f>D52+E52+F52</f>
        <v>1371</v>
      </c>
      <c r="D52" s="1032">
        <v>33</v>
      </c>
      <c r="E52" s="1032">
        <v>198</v>
      </c>
      <c r="F52" s="1034">
        <v>1140</v>
      </c>
      <c r="G52" s="1096"/>
      <c r="H52" s="1036">
        <v>104</v>
      </c>
      <c r="I52" s="1120">
        <v>7.88</v>
      </c>
      <c r="J52" s="1097"/>
      <c r="K52" s="1036">
        <v>3</v>
      </c>
      <c r="L52" s="1032">
        <v>138979</v>
      </c>
      <c r="M52" s="1120">
        <v>38</v>
      </c>
      <c r="N52" s="1121">
        <v>15673306</v>
      </c>
      <c r="O52" s="1122">
        <v>66.2</v>
      </c>
      <c r="P52" s="1120">
        <v>66.3</v>
      </c>
      <c r="Q52" s="1097"/>
      <c r="R52" s="1121">
        <v>348723</v>
      </c>
      <c r="S52" s="1123">
        <v>98.5</v>
      </c>
      <c r="T52" s="1124">
        <v>40265971</v>
      </c>
      <c r="U52" s="1123">
        <v>82.24</v>
      </c>
      <c r="V52" s="1122">
        <v>140.4</v>
      </c>
      <c r="W52" s="1122">
        <v>39.9</v>
      </c>
      <c r="X52" s="1122">
        <v>0</v>
      </c>
      <c r="Y52" s="1120">
        <v>33.1</v>
      </c>
      <c r="Z52" s="1097"/>
      <c r="AA52" s="1125">
        <v>2593</v>
      </c>
      <c r="AB52" s="1025">
        <v>92.05</v>
      </c>
      <c r="AC52" s="1058">
        <v>10341</v>
      </c>
      <c r="AD52" s="1058">
        <v>6310</v>
      </c>
      <c r="AE52" s="1058" t="s">
        <v>143</v>
      </c>
      <c r="AF52" s="1058">
        <v>2869</v>
      </c>
      <c r="AG52" s="1058" t="s">
        <v>143</v>
      </c>
      <c r="AH52" s="1058">
        <v>1162</v>
      </c>
      <c r="AI52" s="1058" t="s">
        <v>143</v>
      </c>
      <c r="AJ52" s="1058">
        <v>70</v>
      </c>
      <c r="AK52" s="1073">
        <v>1884</v>
      </c>
    </row>
    <row r="53" spans="1:37" s="1078" customFormat="1" ht="15.75" customHeight="1" x14ac:dyDescent="0.2">
      <c r="A53" s="1093" t="s">
        <v>202</v>
      </c>
      <c r="B53" s="1094">
        <v>5120</v>
      </c>
      <c r="C53" s="1027">
        <v>2414</v>
      </c>
      <c r="D53" s="1027">
        <v>187</v>
      </c>
      <c r="E53" s="1027">
        <v>500</v>
      </c>
      <c r="F53" s="1117">
        <v>1727</v>
      </c>
      <c r="G53" s="1096"/>
      <c r="H53" s="1038">
        <v>146</v>
      </c>
      <c r="I53" s="1092">
        <v>13.12</v>
      </c>
      <c r="J53" s="1097"/>
      <c r="K53" s="1038">
        <v>9</v>
      </c>
      <c r="L53" s="1027">
        <v>147891</v>
      </c>
      <c r="M53" s="1092">
        <v>79.434418304866256</v>
      </c>
      <c r="N53" s="1076">
        <v>19391634</v>
      </c>
      <c r="O53" s="1091">
        <v>88.222862654810342</v>
      </c>
      <c r="P53" s="1092">
        <v>97.9</v>
      </c>
      <c r="Q53" s="1097"/>
      <c r="R53" s="1076">
        <v>184372</v>
      </c>
      <c r="S53" s="1101">
        <v>99.2</v>
      </c>
      <c r="T53" s="1102">
        <v>20500769</v>
      </c>
      <c r="U53" s="1101">
        <v>92.3</v>
      </c>
      <c r="V53" s="1091">
        <v>111.2</v>
      </c>
      <c r="W53" s="1091">
        <v>29.1</v>
      </c>
      <c r="X53" s="1091">
        <v>88.5</v>
      </c>
      <c r="Y53" s="1092">
        <v>73.7</v>
      </c>
      <c r="Z53" s="1097"/>
      <c r="AA53" s="1103">
        <v>962</v>
      </c>
      <c r="AB53" s="1104">
        <f>88720/962</f>
        <v>92.224532224532226</v>
      </c>
      <c r="AC53" s="1090">
        <f>SUM(AD53:AI53)</f>
        <v>3849</v>
      </c>
      <c r="AD53" s="1090">
        <v>2149</v>
      </c>
      <c r="AE53" s="1090">
        <v>0</v>
      </c>
      <c r="AF53" s="1090">
        <v>1652</v>
      </c>
      <c r="AG53" s="1090">
        <v>48</v>
      </c>
      <c r="AH53" s="1090">
        <v>0</v>
      </c>
      <c r="AI53" s="1090">
        <v>0</v>
      </c>
      <c r="AJ53" s="1090">
        <v>21</v>
      </c>
      <c r="AK53" s="1105">
        <v>526</v>
      </c>
    </row>
    <row r="54" spans="1:37" s="1078" customFormat="1" ht="15.75" customHeight="1" x14ac:dyDescent="0.2">
      <c r="A54" s="1106" t="s">
        <v>203</v>
      </c>
      <c r="B54" s="1107">
        <v>6993</v>
      </c>
      <c r="C54" s="1032">
        <v>2394</v>
      </c>
      <c r="D54" s="1040">
        <v>111.8</v>
      </c>
      <c r="E54" s="1040">
        <v>251</v>
      </c>
      <c r="F54" s="1034">
        <v>2031.2</v>
      </c>
      <c r="G54" s="1096"/>
      <c r="H54" s="1039">
        <v>153</v>
      </c>
      <c r="I54" s="1109">
        <v>12.5</v>
      </c>
      <c r="J54" s="1097"/>
      <c r="K54" s="1039">
        <v>8</v>
      </c>
      <c r="L54" s="1040">
        <v>169234</v>
      </c>
      <c r="M54" s="1109">
        <v>84.3</v>
      </c>
      <c r="N54" s="1157">
        <v>16631671</v>
      </c>
      <c r="O54" s="1111">
        <v>92.6</v>
      </c>
      <c r="P54" s="1109">
        <v>97.9</v>
      </c>
      <c r="Q54" s="1097"/>
      <c r="R54" s="1110">
        <v>189407</v>
      </c>
      <c r="S54" s="1112">
        <v>98.7</v>
      </c>
      <c r="T54" s="1113">
        <v>20018745</v>
      </c>
      <c r="U54" s="1112">
        <v>91.9</v>
      </c>
      <c r="V54" s="1111">
        <v>115.1</v>
      </c>
      <c r="W54" s="1111">
        <v>37</v>
      </c>
      <c r="X54" s="1111">
        <v>16.5</v>
      </c>
      <c r="Y54" s="1109">
        <v>91.2</v>
      </c>
      <c r="Z54" s="1097"/>
      <c r="AA54" s="1114">
        <v>1133</v>
      </c>
      <c r="AB54" s="1115">
        <v>86.4</v>
      </c>
      <c r="AC54" s="1049">
        <v>4589</v>
      </c>
      <c r="AD54" s="1049">
        <v>2308</v>
      </c>
      <c r="AE54" s="1049">
        <v>94</v>
      </c>
      <c r="AF54" s="1049">
        <v>2063</v>
      </c>
      <c r="AG54" s="1049">
        <v>124</v>
      </c>
      <c r="AH54" s="1049">
        <v>0</v>
      </c>
      <c r="AI54" s="1049">
        <v>0</v>
      </c>
      <c r="AJ54" s="1049">
        <v>29</v>
      </c>
      <c r="AK54" s="1116">
        <v>1206</v>
      </c>
    </row>
    <row r="55" spans="1:37" s="1078" customFormat="1" ht="15.75" customHeight="1" x14ac:dyDescent="0.2">
      <c r="A55" s="1093" t="s">
        <v>204</v>
      </c>
      <c r="B55" s="1094">
        <v>21870</v>
      </c>
      <c r="C55" s="1027">
        <v>4359</v>
      </c>
      <c r="D55" s="1027">
        <v>78</v>
      </c>
      <c r="E55" s="1027">
        <v>274</v>
      </c>
      <c r="F55" s="1117">
        <v>4007</v>
      </c>
      <c r="G55" s="1096"/>
      <c r="H55" s="1038">
        <v>841</v>
      </c>
      <c r="I55" s="1092">
        <v>8.1999999999999993</v>
      </c>
      <c r="J55" s="1097"/>
      <c r="K55" s="1038">
        <v>4</v>
      </c>
      <c r="L55" s="1027">
        <v>387931</v>
      </c>
      <c r="M55" s="1092">
        <v>80.599999999999994</v>
      </c>
      <c r="N55" s="1076">
        <v>37094331</v>
      </c>
      <c r="O55" s="1091">
        <v>92</v>
      </c>
      <c r="P55" s="1092">
        <v>92.7</v>
      </c>
      <c r="Q55" s="1097"/>
      <c r="R55" s="1076">
        <v>481143</v>
      </c>
      <c r="S55" s="1101">
        <v>99.9</v>
      </c>
      <c r="T55" s="1102">
        <v>55379377</v>
      </c>
      <c r="U55" s="1101">
        <v>92.98</v>
      </c>
      <c r="V55" s="1091">
        <v>115.1</v>
      </c>
      <c r="W55" s="1091">
        <v>20.2</v>
      </c>
      <c r="X55" s="1091">
        <v>27.2</v>
      </c>
      <c r="Y55" s="1092">
        <v>60</v>
      </c>
      <c r="Z55" s="1097"/>
      <c r="AA55" s="1103">
        <v>4104</v>
      </c>
      <c r="AB55" s="1104">
        <v>93.19</v>
      </c>
      <c r="AC55" s="1090">
        <f>AD55+AF55</f>
        <v>6044</v>
      </c>
      <c r="AD55" s="1090">
        <f>4352+5</f>
        <v>4357</v>
      </c>
      <c r="AE55" s="1090">
        <v>0</v>
      </c>
      <c r="AF55" s="1090">
        <v>1687</v>
      </c>
      <c r="AG55" s="1090">
        <v>0</v>
      </c>
      <c r="AH55" s="1090">
        <v>0</v>
      </c>
      <c r="AI55" s="1090">
        <v>0</v>
      </c>
      <c r="AJ55" s="1090">
        <v>27</v>
      </c>
      <c r="AK55" s="1105">
        <v>762</v>
      </c>
    </row>
    <row r="56" spans="1:37" s="1078" customFormat="1" ht="15.75" customHeight="1" x14ac:dyDescent="0.2">
      <c r="A56" s="1106" t="s">
        <v>254</v>
      </c>
      <c r="B56" s="1107">
        <v>5500</v>
      </c>
      <c r="C56" s="1040">
        <v>1831</v>
      </c>
      <c r="D56" s="1040">
        <v>92</v>
      </c>
      <c r="E56" s="1040">
        <v>235</v>
      </c>
      <c r="F56" s="1108">
        <v>1504</v>
      </c>
      <c r="G56" s="1096"/>
      <c r="H56" s="1039">
        <v>340</v>
      </c>
      <c r="I56" s="1109">
        <v>9.49</v>
      </c>
      <c r="J56" s="1097"/>
      <c r="K56" s="1039">
        <v>9</v>
      </c>
      <c r="L56" s="1040">
        <v>194253</v>
      </c>
      <c r="M56" s="1109">
        <v>88.2</v>
      </c>
      <c r="N56" s="1157">
        <v>19036899</v>
      </c>
      <c r="O56" s="1111">
        <v>86.2</v>
      </c>
      <c r="P56" s="1109">
        <v>93.1</v>
      </c>
      <c r="Q56" s="1097"/>
      <c r="R56" s="1110">
        <v>218768</v>
      </c>
      <c r="S56" s="1112">
        <v>99.3</v>
      </c>
      <c r="T56" s="1113">
        <v>21470844</v>
      </c>
      <c r="U56" s="1112">
        <v>91.2</v>
      </c>
      <c r="V56" s="1111">
        <v>98.1</v>
      </c>
      <c r="W56" s="1111">
        <v>9.1999999999999993</v>
      </c>
      <c r="X56" s="1111">
        <v>100</v>
      </c>
      <c r="Y56" s="1109">
        <v>38.1</v>
      </c>
      <c r="Z56" s="1097"/>
      <c r="AA56" s="1114">
        <v>972</v>
      </c>
      <c r="AB56" s="1115">
        <v>86.58</v>
      </c>
      <c r="AC56" s="1058">
        <f>AD56+AF56</f>
        <v>4529</v>
      </c>
      <c r="AD56" s="1049">
        <v>3565</v>
      </c>
      <c r="AE56" s="1058" t="s">
        <v>143</v>
      </c>
      <c r="AF56" s="1058">
        <v>964</v>
      </c>
      <c r="AG56" s="1058" t="s">
        <v>143</v>
      </c>
      <c r="AH56" s="1058" t="s">
        <v>143</v>
      </c>
      <c r="AI56" s="1058" t="s">
        <v>143</v>
      </c>
      <c r="AJ56" s="1049">
        <v>15</v>
      </c>
      <c r="AK56" s="1116">
        <v>559</v>
      </c>
    </row>
    <row r="57" spans="1:37" s="1078" customFormat="1" ht="15.75" customHeight="1" x14ac:dyDescent="0.2">
      <c r="A57" s="1093" t="s">
        <v>207</v>
      </c>
      <c r="B57" s="1094">
        <v>9979</v>
      </c>
      <c r="C57" s="1027">
        <v>3958</v>
      </c>
      <c r="D57" s="1027">
        <v>74</v>
      </c>
      <c r="E57" s="1027">
        <v>357</v>
      </c>
      <c r="F57" s="1117">
        <v>3527</v>
      </c>
      <c r="G57" s="1096"/>
      <c r="H57" s="1038">
        <v>688</v>
      </c>
      <c r="I57" s="1092">
        <v>6.75</v>
      </c>
      <c r="J57" s="1097"/>
      <c r="K57" s="1038">
        <v>1</v>
      </c>
      <c r="L57" s="1027">
        <v>347322</v>
      </c>
      <c r="M57" s="1092">
        <v>74.2</v>
      </c>
      <c r="N57" s="1076">
        <v>35625984</v>
      </c>
      <c r="O57" s="1091">
        <v>90.5</v>
      </c>
      <c r="P57" s="1092">
        <v>84.3</v>
      </c>
      <c r="Q57" s="1097"/>
      <c r="R57" s="1076">
        <v>447786</v>
      </c>
      <c r="S57" s="1101">
        <v>95.8</v>
      </c>
      <c r="T57" s="1102">
        <v>47482190</v>
      </c>
      <c r="U57" s="1101">
        <v>94.7</v>
      </c>
      <c r="V57" s="1091">
        <v>106</v>
      </c>
      <c r="W57" s="1091">
        <v>24.8</v>
      </c>
      <c r="X57" s="1091">
        <v>44</v>
      </c>
      <c r="Y57" s="1092">
        <v>60</v>
      </c>
      <c r="Z57" s="1097"/>
      <c r="AA57" s="1103">
        <v>3574</v>
      </c>
      <c r="AB57" s="1104">
        <v>91.305000000000007</v>
      </c>
      <c r="AC57" s="1090">
        <v>5242</v>
      </c>
      <c r="AD57" s="1090">
        <v>3173</v>
      </c>
      <c r="AE57" s="1090" t="s">
        <v>143</v>
      </c>
      <c r="AF57" s="1090">
        <v>2069</v>
      </c>
      <c r="AG57" s="1090" t="s">
        <v>143</v>
      </c>
      <c r="AH57" s="1090" t="s">
        <v>143</v>
      </c>
      <c r="AI57" s="1090" t="s">
        <v>143</v>
      </c>
      <c r="AJ57" s="1090">
        <v>66</v>
      </c>
      <c r="AK57" s="1105">
        <v>1828</v>
      </c>
    </row>
    <row r="58" spans="1:37" s="1078" customFormat="1" ht="15.75" customHeight="1" x14ac:dyDescent="0.2">
      <c r="A58" s="1106" t="s">
        <v>209</v>
      </c>
      <c r="B58" s="1119">
        <v>7239</v>
      </c>
      <c r="C58" s="1032">
        <v>2583.4839999999999</v>
      </c>
      <c r="D58" s="1032">
        <v>152.44</v>
      </c>
      <c r="E58" s="1032">
        <v>308.66899999999998</v>
      </c>
      <c r="F58" s="1034">
        <v>2122.375</v>
      </c>
      <c r="G58" s="1096"/>
      <c r="H58" s="1036">
        <v>404</v>
      </c>
      <c r="I58" s="1120">
        <v>13.3</v>
      </c>
      <c r="J58" s="1097"/>
      <c r="K58" s="1036">
        <v>7</v>
      </c>
      <c r="L58" s="1032">
        <v>201347</v>
      </c>
      <c r="M58" s="1120">
        <v>77.599999999999994</v>
      </c>
      <c r="N58" s="1158">
        <v>20425504</v>
      </c>
      <c r="O58" s="1122">
        <v>89</v>
      </c>
      <c r="P58" s="1120">
        <v>85.8</v>
      </c>
      <c r="Q58" s="1097"/>
      <c r="R58" s="1121">
        <v>251235</v>
      </c>
      <c r="S58" s="1123">
        <v>96.9</v>
      </c>
      <c r="T58" s="1124">
        <v>27800706</v>
      </c>
      <c r="U58" s="1123">
        <v>86.8</v>
      </c>
      <c r="V58" s="1122">
        <v>110.7</v>
      </c>
      <c r="W58" s="1122">
        <v>7.5</v>
      </c>
      <c r="X58" s="1122">
        <v>0.1</v>
      </c>
      <c r="Y58" s="1120">
        <v>45.2</v>
      </c>
      <c r="Z58" s="1097"/>
      <c r="AA58" s="1125">
        <v>1141</v>
      </c>
      <c r="AB58" s="1025">
        <v>89.2</v>
      </c>
      <c r="AC58" s="1058">
        <v>11481</v>
      </c>
      <c r="AD58" s="1058">
        <v>6981</v>
      </c>
      <c r="AE58" s="1058" t="s">
        <v>143</v>
      </c>
      <c r="AF58" s="1058">
        <v>3393</v>
      </c>
      <c r="AG58" s="1058" t="s">
        <v>143</v>
      </c>
      <c r="AH58" s="1058">
        <v>1107</v>
      </c>
      <c r="AI58" s="1058" t="s">
        <v>143</v>
      </c>
      <c r="AJ58" s="1058">
        <v>19</v>
      </c>
      <c r="AK58" s="1073">
        <v>608</v>
      </c>
    </row>
    <row r="59" spans="1:37" s="1078" customFormat="1" ht="15.75" customHeight="1" x14ac:dyDescent="0.2">
      <c r="A59" s="1093" t="s">
        <v>210</v>
      </c>
      <c r="B59" s="1094">
        <v>7615</v>
      </c>
      <c r="C59" s="1027">
        <v>2836</v>
      </c>
      <c r="D59" s="1027">
        <v>42.363999999999997</v>
      </c>
      <c r="E59" s="1027">
        <v>411.16800000000001</v>
      </c>
      <c r="F59" s="1117">
        <v>2383.4609999999998</v>
      </c>
      <c r="G59" s="1096"/>
      <c r="H59" s="1038">
        <v>297</v>
      </c>
      <c r="I59" s="1092">
        <v>9.1</v>
      </c>
      <c r="J59" s="1097"/>
      <c r="K59" s="1038">
        <v>4</v>
      </c>
      <c r="L59" s="1027">
        <v>271695</v>
      </c>
      <c r="M59" s="1092">
        <v>63.9</v>
      </c>
      <c r="N59" s="1076">
        <v>27379388</v>
      </c>
      <c r="O59" s="1091">
        <v>79.3</v>
      </c>
      <c r="P59" s="1092">
        <v>87.7</v>
      </c>
      <c r="Q59" s="1097"/>
      <c r="R59" s="1076">
        <v>414194</v>
      </c>
      <c r="S59" s="1101">
        <v>99.4</v>
      </c>
      <c r="T59" s="1102">
        <v>45504768</v>
      </c>
      <c r="U59" s="1101">
        <v>92.3</v>
      </c>
      <c r="V59" s="1091">
        <v>109.9</v>
      </c>
      <c r="W59" s="1091">
        <v>13.2</v>
      </c>
      <c r="X59" s="1091">
        <v>22.5</v>
      </c>
      <c r="Y59" s="1092">
        <v>36.5</v>
      </c>
      <c r="Z59" s="1097"/>
      <c r="AA59" s="1103">
        <v>3026</v>
      </c>
      <c r="AB59" s="1104">
        <v>89.76</v>
      </c>
      <c r="AC59" s="1090">
        <v>8633</v>
      </c>
      <c r="AD59" s="1090">
        <v>4033</v>
      </c>
      <c r="AE59" s="1090" t="s">
        <v>143</v>
      </c>
      <c r="AF59" s="1090">
        <v>4600</v>
      </c>
      <c r="AG59" s="1090" t="s">
        <v>143</v>
      </c>
      <c r="AH59" s="1090" t="s">
        <v>143</v>
      </c>
      <c r="AI59" s="1090" t="s">
        <v>143</v>
      </c>
      <c r="AJ59" s="1090">
        <v>47</v>
      </c>
      <c r="AK59" s="1105">
        <v>1506</v>
      </c>
    </row>
    <row r="60" spans="1:37" s="1078" customFormat="1" ht="15.75" customHeight="1" x14ac:dyDescent="0.2">
      <c r="A60" s="1106" t="s">
        <v>212</v>
      </c>
      <c r="B60" s="1119">
        <v>6692</v>
      </c>
      <c r="C60" s="1040">
        <v>2347</v>
      </c>
      <c r="D60" s="1040">
        <v>147</v>
      </c>
      <c r="E60" s="1040">
        <v>325</v>
      </c>
      <c r="F60" s="1108">
        <v>1875</v>
      </c>
      <c r="G60" s="1096"/>
      <c r="H60" s="1039">
        <v>339</v>
      </c>
      <c r="I60" s="1109">
        <v>7.67</v>
      </c>
      <c r="J60" s="1097"/>
      <c r="K60" s="1039">
        <v>4</v>
      </c>
      <c r="L60" s="1040">
        <v>325450</v>
      </c>
      <c r="M60" s="1109">
        <v>63.8</v>
      </c>
      <c r="N60" s="1157">
        <v>33636529</v>
      </c>
      <c r="O60" s="1111">
        <v>82.2</v>
      </c>
      <c r="P60" s="1109">
        <v>87.9</v>
      </c>
      <c r="Q60" s="1097"/>
      <c r="R60" s="1110">
        <v>478823</v>
      </c>
      <c r="S60" s="1112">
        <v>96.96</v>
      </c>
      <c r="T60" s="1140">
        <v>47391740</v>
      </c>
      <c r="U60" s="1112">
        <v>95.34</v>
      </c>
      <c r="V60" s="1111">
        <v>99</v>
      </c>
      <c r="W60" s="1111">
        <v>22.7</v>
      </c>
      <c r="X60" s="1111">
        <v>90.2</v>
      </c>
      <c r="Y60" s="1109">
        <v>83.4</v>
      </c>
      <c r="Z60" s="1097"/>
      <c r="AA60" s="1114">
        <v>3126</v>
      </c>
      <c r="AB60" s="1115">
        <v>88.7</v>
      </c>
      <c r="AC60" s="1049">
        <v>6990</v>
      </c>
      <c r="AD60" s="1049">
        <v>4531</v>
      </c>
      <c r="AE60" s="1049" t="s">
        <v>143</v>
      </c>
      <c r="AF60" s="1049">
        <v>2459</v>
      </c>
      <c r="AG60" s="1049" t="s">
        <v>143</v>
      </c>
      <c r="AH60" s="1049" t="s">
        <v>143</v>
      </c>
      <c r="AI60" s="1049" t="s">
        <v>143</v>
      </c>
      <c r="AJ60" s="1049">
        <v>82</v>
      </c>
      <c r="AK60" s="1116">
        <v>2447</v>
      </c>
    </row>
    <row r="61" spans="1:37" s="1078" customFormat="1" ht="15.75" customHeight="1" x14ac:dyDescent="0.2">
      <c r="A61" s="1093" t="s">
        <v>213</v>
      </c>
      <c r="B61" s="1094">
        <v>9307</v>
      </c>
      <c r="C61" s="1027">
        <v>2287</v>
      </c>
      <c r="D61" s="1027">
        <v>44</v>
      </c>
      <c r="E61" s="1027">
        <v>269</v>
      </c>
      <c r="F61" s="1117">
        <v>1974</v>
      </c>
      <c r="G61" s="1096"/>
      <c r="H61" s="1038">
        <v>728</v>
      </c>
      <c r="I61" s="1092">
        <v>8.6</v>
      </c>
      <c r="J61" s="1097"/>
      <c r="K61" s="1038">
        <v>3</v>
      </c>
      <c r="L61" s="1027">
        <v>207333</v>
      </c>
      <c r="M61" s="1092">
        <v>63.7</v>
      </c>
      <c r="N61" s="1076">
        <v>21491803</v>
      </c>
      <c r="O61" s="1091">
        <v>59.2</v>
      </c>
      <c r="P61" s="1092">
        <v>78.599999999999994</v>
      </c>
      <c r="Q61" s="1097"/>
      <c r="R61" s="1076">
        <v>310307</v>
      </c>
      <c r="S61" s="1101">
        <v>96.38</v>
      </c>
      <c r="T61" s="1102">
        <v>35536046</v>
      </c>
      <c r="U61" s="1101">
        <v>94.02</v>
      </c>
      <c r="V61" s="1091">
        <v>114.5</v>
      </c>
      <c r="W61" s="1091">
        <v>19.399999999999999</v>
      </c>
      <c r="X61" s="1091">
        <v>34.5</v>
      </c>
      <c r="Y61" s="1092">
        <v>88</v>
      </c>
      <c r="Z61" s="1097"/>
      <c r="AA61" s="1103">
        <v>1899</v>
      </c>
      <c r="AB61" s="1104">
        <v>85.00789889415482</v>
      </c>
      <c r="AC61" s="1090">
        <v>7148</v>
      </c>
      <c r="AD61" s="1090">
        <v>4973</v>
      </c>
      <c r="AE61" s="1090" t="s">
        <v>143</v>
      </c>
      <c r="AF61" s="1090">
        <v>2175</v>
      </c>
      <c r="AG61" s="1090" t="s">
        <v>143</v>
      </c>
      <c r="AH61" s="1090" t="s">
        <v>143</v>
      </c>
      <c r="AI61" s="1090" t="s">
        <v>143</v>
      </c>
      <c r="AJ61" s="1090">
        <v>21</v>
      </c>
      <c r="AK61" s="1105">
        <v>714</v>
      </c>
    </row>
    <row r="62" spans="1:37" s="1078" customFormat="1" ht="15.75" customHeight="1" x14ac:dyDescent="0.2">
      <c r="A62" s="1106" t="s">
        <v>215</v>
      </c>
      <c r="B62" s="1107">
        <v>9094</v>
      </c>
      <c r="C62" s="1040">
        <v>2831</v>
      </c>
      <c r="D62" s="1040">
        <v>63</v>
      </c>
      <c r="E62" s="1040">
        <v>329</v>
      </c>
      <c r="F62" s="1108">
        <v>2439</v>
      </c>
      <c r="G62" s="1096"/>
      <c r="H62" s="1039">
        <v>445</v>
      </c>
      <c r="I62" s="1109">
        <v>7.8</v>
      </c>
      <c r="J62" s="1097"/>
      <c r="K62" s="1039">
        <v>3</v>
      </c>
      <c r="L62" s="1040">
        <v>256829</v>
      </c>
      <c r="M62" s="1109">
        <v>84.3</v>
      </c>
      <c r="N62" s="1157">
        <v>23606196</v>
      </c>
      <c r="O62" s="1111">
        <v>84.2</v>
      </c>
      <c r="P62" s="1109">
        <v>95.8</v>
      </c>
      <c r="Q62" s="1097"/>
      <c r="R62" s="1110">
        <v>275953</v>
      </c>
      <c r="S62" s="1112">
        <v>96.2</v>
      </c>
      <c r="T62" s="1140">
        <v>24761182</v>
      </c>
      <c r="U62" s="1112">
        <v>88.9</v>
      </c>
      <c r="V62" s="1111">
        <v>89.7</v>
      </c>
      <c r="W62" s="1111">
        <v>24</v>
      </c>
      <c r="X62" s="1111">
        <v>61.2</v>
      </c>
      <c r="Y62" s="1109">
        <v>70</v>
      </c>
      <c r="Z62" s="1097"/>
      <c r="AA62" s="1114">
        <v>1946</v>
      </c>
      <c r="AB62" s="1115">
        <v>52.4</v>
      </c>
      <c r="AC62" s="1049">
        <v>7993</v>
      </c>
      <c r="AD62" s="1049">
        <v>4333</v>
      </c>
      <c r="AE62" s="1049" t="s">
        <v>143</v>
      </c>
      <c r="AF62" s="1049">
        <v>2964</v>
      </c>
      <c r="AG62" s="1049">
        <v>696</v>
      </c>
      <c r="AH62" s="1049" t="s">
        <v>143</v>
      </c>
      <c r="AI62" s="1049" t="s">
        <v>143</v>
      </c>
      <c r="AJ62" s="1049">
        <v>16</v>
      </c>
      <c r="AK62" s="1116">
        <v>687</v>
      </c>
    </row>
    <row r="63" spans="1:37" s="1078" customFormat="1" ht="15.75" customHeight="1" x14ac:dyDescent="0.2">
      <c r="A63" s="1093" t="s">
        <v>216</v>
      </c>
      <c r="B63" s="1174">
        <v>6386</v>
      </c>
      <c r="C63" s="1027">
        <v>2287</v>
      </c>
      <c r="D63" s="1027">
        <v>132.55609999999999</v>
      </c>
      <c r="E63" s="1027">
        <v>209.25970000000001</v>
      </c>
      <c r="F63" s="1175">
        <v>1944.7840000000001</v>
      </c>
      <c r="G63" s="1096"/>
      <c r="H63" s="1098">
        <v>509</v>
      </c>
      <c r="I63" s="1092">
        <v>10.210000000000001</v>
      </c>
      <c r="J63" s="1097"/>
      <c r="K63" s="1098">
        <v>11</v>
      </c>
      <c r="L63" s="1027">
        <v>390148</v>
      </c>
      <c r="M63" s="1092">
        <v>94.3</v>
      </c>
      <c r="N63" s="1076">
        <v>37408947</v>
      </c>
      <c r="O63" s="1091">
        <v>80.11</v>
      </c>
      <c r="P63" s="1092">
        <v>97.8</v>
      </c>
      <c r="Q63" s="1097"/>
      <c r="R63" s="1176">
        <v>399116</v>
      </c>
      <c r="S63" s="1101">
        <v>97.85</v>
      </c>
      <c r="T63" s="1077">
        <v>38106129</v>
      </c>
      <c r="U63" s="1101">
        <v>87.8</v>
      </c>
      <c r="V63" s="1177">
        <v>108.73</v>
      </c>
      <c r="W63" s="1091">
        <v>18.399999999999999</v>
      </c>
      <c r="X63" s="1091">
        <v>10.17</v>
      </c>
      <c r="Y63" s="1092">
        <v>37.54</v>
      </c>
      <c r="Z63" s="1097"/>
      <c r="AA63" s="1173">
        <v>2278</v>
      </c>
      <c r="AB63" s="1104">
        <v>73.819999999999993</v>
      </c>
      <c r="AC63" s="1090">
        <v>16164</v>
      </c>
      <c r="AD63" s="1090">
        <v>9314</v>
      </c>
      <c r="AE63" s="1090" t="s">
        <v>143</v>
      </c>
      <c r="AF63" s="1090">
        <v>6471</v>
      </c>
      <c r="AG63" s="1090">
        <v>379</v>
      </c>
      <c r="AH63" s="1090" t="s">
        <v>143</v>
      </c>
      <c r="AI63" s="1178" t="s">
        <v>143</v>
      </c>
      <c r="AJ63" s="1090">
        <v>23</v>
      </c>
      <c r="AK63" s="1105">
        <v>844</v>
      </c>
    </row>
    <row r="64" spans="1:37" s="1078" customFormat="1" ht="15.75" customHeight="1" x14ac:dyDescent="0.2">
      <c r="A64" s="1106" t="s">
        <v>217</v>
      </c>
      <c r="B64" s="1179">
        <v>4023</v>
      </c>
      <c r="C64" s="1040">
        <v>2126</v>
      </c>
      <c r="D64" s="1040">
        <v>110</v>
      </c>
      <c r="E64" s="1040">
        <v>212</v>
      </c>
      <c r="F64" s="1108">
        <v>1804</v>
      </c>
      <c r="G64" s="1096"/>
      <c r="H64" s="1161">
        <v>418</v>
      </c>
      <c r="I64" s="1109">
        <v>16.2</v>
      </c>
      <c r="J64" s="1097"/>
      <c r="K64" s="1161">
        <v>4</v>
      </c>
      <c r="L64" s="1040">
        <v>146550</v>
      </c>
      <c r="M64" s="1109">
        <v>59.3</v>
      </c>
      <c r="N64" s="1110">
        <v>14043737</v>
      </c>
      <c r="O64" s="1112">
        <v>93.5</v>
      </c>
      <c r="P64" s="1109">
        <v>77.599999999999994</v>
      </c>
      <c r="Q64" s="1180"/>
      <c r="R64" s="1110">
        <v>242642</v>
      </c>
      <c r="S64" s="1112">
        <v>98.2</v>
      </c>
      <c r="T64" s="1011">
        <v>24440647</v>
      </c>
      <c r="U64" s="1112">
        <v>87.4</v>
      </c>
      <c r="V64" s="1181">
        <v>100.7</v>
      </c>
      <c r="W64" s="1111">
        <v>7.1</v>
      </c>
      <c r="X64" s="1111">
        <v>45.9</v>
      </c>
      <c r="Y64" s="1109">
        <v>11.5</v>
      </c>
      <c r="Z64" s="1097"/>
      <c r="AA64" s="1182">
        <v>1123</v>
      </c>
      <c r="AB64" s="1115">
        <v>91.4</v>
      </c>
      <c r="AC64" s="1049">
        <v>9090</v>
      </c>
      <c r="AD64" s="1049">
        <v>5317</v>
      </c>
      <c r="AE64" s="1058" t="s">
        <v>143</v>
      </c>
      <c r="AF64" s="1058">
        <v>3493</v>
      </c>
      <c r="AG64" s="1058">
        <v>280</v>
      </c>
      <c r="AH64" s="1058" t="s">
        <v>143</v>
      </c>
      <c r="AI64" s="1058" t="s">
        <v>143</v>
      </c>
      <c r="AJ64" s="1049">
        <v>35</v>
      </c>
      <c r="AK64" s="1116">
        <v>761</v>
      </c>
    </row>
    <row r="65" spans="1:37" s="1078" customFormat="1" ht="15.75" customHeight="1" x14ac:dyDescent="0.2">
      <c r="A65" s="1093" t="s">
        <v>219</v>
      </c>
      <c r="B65" s="1174">
        <v>7828</v>
      </c>
      <c r="C65" s="1027">
        <v>2850</v>
      </c>
      <c r="D65" s="1027">
        <v>131</v>
      </c>
      <c r="E65" s="1027">
        <v>252</v>
      </c>
      <c r="F65" s="1175">
        <v>2467</v>
      </c>
      <c r="G65" s="1096"/>
      <c r="H65" s="1098">
        <v>775</v>
      </c>
      <c r="I65" s="1092">
        <v>14.75</v>
      </c>
      <c r="J65" s="1097"/>
      <c r="K65" s="1098">
        <v>5</v>
      </c>
      <c r="L65" s="1027">
        <v>304243</v>
      </c>
      <c r="M65" s="1092">
        <v>63.7</v>
      </c>
      <c r="N65" s="1076">
        <v>33048774</v>
      </c>
      <c r="O65" s="1091">
        <v>78</v>
      </c>
      <c r="P65" s="1092">
        <v>82.8</v>
      </c>
      <c r="Q65" s="1097"/>
      <c r="R65" s="1176">
        <v>475233</v>
      </c>
      <c r="S65" s="1101">
        <v>99.83</v>
      </c>
      <c r="T65" s="1077">
        <v>44714896</v>
      </c>
      <c r="U65" s="1101">
        <v>89.36</v>
      </c>
      <c r="V65" s="1177">
        <v>94.1</v>
      </c>
      <c r="W65" s="1091">
        <v>16</v>
      </c>
      <c r="X65" s="1091">
        <v>1.9</v>
      </c>
      <c r="Y65" s="1092">
        <v>71.5</v>
      </c>
      <c r="Z65" s="1097"/>
      <c r="AA65" s="1173">
        <v>3915</v>
      </c>
      <c r="AB65" s="1104">
        <v>83.9</v>
      </c>
      <c r="AC65" s="1090">
        <v>11496</v>
      </c>
      <c r="AD65" s="1090">
        <v>5375</v>
      </c>
      <c r="AE65" s="1090" t="s">
        <v>143</v>
      </c>
      <c r="AF65" s="1090">
        <v>6015</v>
      </c>
      <c r="AG65" s="1090">
        <v>106</v>
      </c>
      <c r="AH65" s="1090" t="s">
        <v>143</v>
      </c>
      <c r="AI65" s="1178" t="s">
        <v>143</v>
      </c>
      <c r="AJ65" s="1090">
        <v>25</v>
      </c>
      <c r="AK65" s="1105">
        <v>879</v>
      </c>
    </row>
    <row r="66" spans="1:37" s="1078" customFormat="1" ht="15.75" customHeight="1" x14ac:dyDescent="0.2">
      <c r="A66" s="1106" t="s">
        <v>220</v>
      </c>
      <c r="B66" s="1179">
        <v>8759</v>
      </c>
      <c r="C66" s="1040">
        <v>3112</v>
      </c>
      <c r="D66" s="1040">
        <v>114</v>
      </c>
      <c r="E66" s="1040">
        <v>336</v>
      </c>
      <c r="F66" s="1108">
        <v>2662</v>
      </c>
      <c r="G66" s="1096"/>
      <c r="H66" s="1161">
        <v>525</v>
      </c>
      <c r="I66" s="1109">
        <v>17.11</v>
      </c>
      <c r="J66" s="1097"/>
      <c r="K66" s="1161">
        <v>6</v>
      </c>
      <c r="L66" s="1040">
        <v>366301</v>
      </c>
      <c r="M66" s="1109">
        <v>91.3</v>
      </c>
      <c r="N66" s="1110">
        <v>36507505</v>
      </c>
      <c r="O66" s="1112">
        <v>79.7</v>
      </c>
      <c r="P66" s="1109">
        <v>98.98</v>
      </c>
      <c r="Q66" s="1180"/>
      <c r="R66" s="1110">
        <v>394860</v>
      </c>
      <c r="S66" s="1112">
        <v>99.5</v>
      </c>
      <c r="T66" s="1011">
        <v>43229059</v>
      </c>
      <c r="U66" s="1112">
        <v>90</v>
      </c>
      <c r="V66" s="1181">
        <v>109.5</v>
      </c>
      <c r="W66" s="1111">
        <v>11.8</v>
      </c>
      <c r="X66" s="1111">
        <v>6.6</v>
      </c>
      <c r="Y66" s="1109">
        <v>79.400000000000006</v>
      </c>
      <c r="Z66" s="1097"/>
      <c r="AA66" s="1182">
        <v>2626</v>
      </c>
      <c r="AB66" s="1115">
        <v>89.947000000000003</v>
      </c>
      <c r="AC66" s="1049">
        <f>SUM(AD66:AI66)</f>
        <v>9825</v>
      </c>
      <c r="AD66" s="1049">
        <v>5439</v>
      </c>
      <c r="AE66" s="1049" t="s">
        <v>143</v>
      </c>
      <c r="AF66" s="1049">
        <v>4386</v>
      </c>
      <c r="AG66" s="1049" t="s">
        <v>143</v>
      </c>
      <c r="AH66" s="1049" t="s">
        <v>143</v>
      </c>
      <c r="AI66" s="1049" t="s">
        <v>143</v>
      </c>
      <c r="AJ66" s="1049">
        <v>6</v>
      </c>
      <c r="AK66" s="1116">
        <v>246</v>
      </c>
    </row>
    <row r="67" spans="1:37" s="1078" customFormat="1" ht="15.75" customHeight="1" x14ac:dyDescent="0.2">
      <c r="A67" s="1093" t="s">
        <v>221</v>
      </c>
      <c r="B67" s="1174">
        <v>8580</v>
      </c>
      <c r="C67" s="1027">
        <v>3051.01</v>
      </c>
      <c r="D67" s="1027">
        <v>100.13</v>
      </c>
      <c r="E67" s="1027">
        <v>285.54000000000002</v>
      </c>
      <c r="F67" s="1117">
        <v>2665.34</v>
      </c>
      <c r="G67" s="1096"/>
      <c r="H67" s="1098">
        <v>678</v>
      </c>
      <c r="I67" s="1092">
        <v>7.8</v>
      </c>
      <c r="J67" s="1097"/>
      <c r="K67" s="1098">
        <v>3</v>
      </c>
      <c r="L67" s="1027">
        <v>471100</v>
      </c>
      <c r="M67" s="1092">
        <v>79.400000000000006</v>
      </c>
      <c r="N67" s="1076">
        <v>54358376</v>
      </c>
      <c r="O67" s="1091">
        <v>90.4</v>
      </c>
      <c r="P67" s="1092">
        <v>94.1</v>
      </c>
      <c r="Q67" s="1097"/>
      <c r="R67" s="1176">
        <v>574400</v>
      </c>
      <c r="S67" s="1101">
        <v>99</v>
      </c>
      <c r="T67" s="1077">
        <v>58955411</v>
      </c>
      <c r="U67" s="1101">
        <v>92.2</v>
      </c>
      <c r="V67" s="1177">
        <v>102.6</v>
      </c>
      <c r="W67" s="1129">
        <v>25.9</v>
      </c>
      <c r="X67" s="1091">
        <v>4.3</v>
      </c>
      <c r="Y67" s="1092">
        <v>49.2</v>
      </c>
      <c r="Z67" s="1097"/>
      <c r="AA67" s="1173">
        <v>4108</v>
      </c>
      <c r="AB67" s="1104">
        <v>80.7</v>
      </c>
      <c r="AC67" s="1090">
        <v>16799</v>
      </c>
      <c r="AD67" s="1090">
        <v>11120</v>
      </c>
      <c r="AE67" s="1090" t="s">
        <v>143</v>
      </c>
      <c r="AF67" s="1090">
        <v>4853</v>
      </c>
      <c r="AG67" s="1090">
        <v>122</v>
      </c>
      <c r="AH67" s="1090">
        <v>704</v>
      </c>
      <c r="AI67" s="1090" t="s">
        <v>143</v>
      </c>
      <c r="AJ67" s="1090">
        <v>44</v>
      </c>
      <c r="AK67" s="1105">
        <v>1133</v>
      </c>
    </row>
    <row r="68" spans="1:37" s="1078" customFormat="1" ht="15.75" customHeight="1" thickBot="1" x14ac:dyDescent="0.25">
      <c r="A68" s="1106" t="s">
        <v>223</v>
      </c>
      <c r="B68" s="1179">
        <v>1899</v>
      </c>
      <c r="C68" s="1040">
        <v>497</v>
      </c>
      <c r="D68" s="1040">
        <v>31</v>
      </c>
      <c r="E68" s="1040">
        <v>52</v>
      </c>
      <c r="F68" s="1108">
        <v>414</v>
      </c>
      <c r="G68" s="1096"/>
      <c r="H68" s="1039">
        <v>165</v>
      </c>
      <c r="I68" s="1109">
        <v>5.88</v>
      </c>
      <c r="J68" s="1097"/>
      <c r="K68" s="1039">
        <v>0</v>
      </c>
      <c r="L68" s="1040">
        <v>315542</v>
      </c>
      <c r="M68" s="1109">
        <v>98.2</v>
      </c>
      <c r="N68" s="1110">
        <v>35889579</v>
      </c>
      <c r="O68" s="1111">
        <v>100</v>
      </c>
      <c r="P68" s="1109">
        <v>98.6</v>
      </c>
      <c r="Q68" s="1097"/>
      <c r="R68" s="1110">
        <v>317060</v>
      </c>
      <c r="S68" s="1112">
        <v>100</v>
      </c>
      <c r="T68" s="1011">
        <v>37235984</v>
      </c>
      <c r="U68" s="1112">
        <v>96.66</v>
      </c>
      <c r="V68" s="1111">
        <v>117.4</v>
      </c>
      <c r="W68" s="1111">
        <v>7</v>
      </c>
      <c r="X68" s="1111" t="s">
        <v>143</v>
      </c>
      <c r="Y68" s="1109">
        <v>91.3</v>
      </c>
      <c r="Z68" s="1097"/>
      <c r="AA68" s="1114">
        <v>2880</v>
      </c>
      <c r="AB68" s="1115">
        <v>60.6</v>
      </c>
      <c r="AC68" s="1049">
        <v>8709</v>
      </c>
      <c r="AD68" s="1049">
        <v>5946</v>
      </c>
      <c r="AE68" s="1049" t="s">
        <v>143</v>
      </c>
      <c r="AF68" s="1049">
        <v>2628</v>
      </c>
      <c r="AG68" s="1049">
        <v>135</v>
      </c>
      <c r="AH68" s="1049" t="s">
        <v>143</v>
      </c>
      <c r="AI68" s="1049" t="s">
        <v>143</v>
      </c>
      <c r="AJ68" s="1049">
        <v>16</v>
      </c>
      <c r="AK68" s="1116">
        <v>692</v>
      </c>
    </row>
    <row r="69" spans="1:37" s="1201" customFormat="1" ht="18" customHeight="1" thickTop="1" x14ac:dyDescent="0.2">
      <c r="A69" s="1183" t="s">
        <v>224</v>
      </c>
      <c r="B69" s="1184">
        <f>SUM(B7:B68)</f>
        <v>460898</v>
      </c>
      <c r="C69" s="1185">
        <f>SUM(C7:C68)</f>
        <v>141869.00599999999</v>
      </c>
      <c r="D69" s="1185">
        <f>SUM(D7:D68)</f>
        <v>4983.6471000000001</v>
      </c>
      <c r="E69" s="1185">
        <f>SUM(E7:E68)</f>
        <v>13652.994700000001</v>
      </c>
      <c r="F69" s="1184">
        <f>SUM(F7:F68)</f>
        <v>123233.60509999999</v>
      </c>
      <c r="G69" s="1186"/>
      <c r="H69" s="1187">
        <f>SUM(H7:H68)</f>
        <v>24741</v>
      </c>
      <c r="I69" s="1188">
        <f>SUM(I7:I68)</f>
        <v>655.86962159802067</v>
      </c>
      <c r="J69" s="1189"/>
      <c r="K69" s="1187">
        <f>SUM(K7:K68)</f>
        <v>219</v>
      </c>
      <c r="L69" s="1185">
        <f>SUM(L7:L68)</f>
        <v>19458361</v>
      </c>
      <c r="M69" s="1190" t="s">
        <v>139</v>
      </c>
      <c r="N69" s="1191">
        <f>SUM(N7:N68)</f>
        <v>2039158851</v>
      </c>
      <c r="O69" s="1185" t="s">
        <v>139</v>
      </c>
      <c r="P69" s="1192" t="s">
        <v>139</v>
      </c>
      <c r="Q69" s="1193"/>
      <c r="R69" s="1194">
        <f>SUM(R7:R68)</f>
        <v>22384557</v>
      </c>
      <c r="S69" s="1185" t="s">
        <v>139</v>
      </c>
      <c r="T69" s="1195">
        <f>SUM(T7:T68)</f>
        <v>2299815050</v>
      </c>
      <c r="U69" s="1185" t="s">
        <v>139</v>
      </c>
      <c r="V69" s="1185" t="s">
        <v>139</v>
      </c>
      <c r="W69" s="1196" t="s">
        <v>139</v>
      </c>
      <c r="X69" s="1196" t="s">
        <v>139</v>
      </c>
      <c r="Y69" s="1190" t="s">
        <v>139</v>
      </c>
      <c r="Z69" s="1193"/>
      <c r="AA69" s="1197">
        <f>SUM(AA7:AA68)</f>
        <v>152901</v>
      </c>
      <c r="AB69" s="1198">
        <f t="shared" ref="AB69:AI69" si="0">SUM(AB7:AB68)</f>
        <v>5528.1162570734596</v>
      </c>
      <c r="AC69" s="1199">
        <f t="shared" si="0"/>
        <v>535518</v>
      </c>
      <c r="AD69" s="1199">
        <f t="shared" si="0"/>
        <v>235024</v>
      </c>
      <c r="AE69" s="1199">
        <f>SUM(AE7:AE68)</f>
        <v>193</v>
      </c>
      <c r="AF69" s="1199">
        <f>SUM(AF7:AF68)</f>
        <v>200816</v>
      </c>
      <c r="AG69" s="1199">
        <f t="shared" si="0"/>
        <v>17481</v>
      </c>
      <c r="AH69" s="1199">
        <f t="shared" si="0"/>
        <v>91821</v>
      </c>
      <c r="AI69" s="1199">
        <f t="shared" si="0"/>
        <v>0</v>
      </c>
      <c r="AJ69" s="1199">
        <f>SUM(AJ7:AJ68)</f>
        <v>1796</v>
      </c>
      <c r="AK69" s="1200">
        <f>SUM(AK7:AK68)</f>
        <v>59822</v>
      </c>
    </row>
    <row r="70" spans="1:37" s="1078" customFormat="1" ht="18" customHeight="1" thickBot="1" x14ac:dyDescent="0.25">
      <c r="A70" s="1202" t="s">
        <v>225</v>
      </c>
      <c r="B70" s="1203">
        <f>AVERAGE(B7:B68)</f>
        <v>7433.8387096774195</v>
      </c>
      <c r="C70" s="1204">
        <f>AVERAGE(C7:C68)</f>
        <v>2288.2097741935481</v>
      </c>
      <c r="D70" s="1204">
        <f>AVERAGE(D7:D68)</f>
        <v>80.381404838709685</v>
      </c>
      <c r="E70" s="1204">
        <f>AVERAGE(E7:E68)</f>
        <v>220.2095919354839</v>
      </c>
      <c r="F70" s="1203">
        <f>AVERAGE(F7:F68)</f>
        <v>1987.6387919354836</v>
      </c>
      <c r="G70" s="1205"/>
      <c r="H70" s="1206">
        <f>AVERAGE(H7:H68)</f>
        <v>399.04838709677421</v>
      </c>
      <c r="I70" s="1207">
        <f>AVERAGE(I7:I68)</f>
        <v>10.578542283839043</v>
      </c>
      <c r="J70" s="1208"/>
      <c r="K70" s="1204">
        <f t="shared" ref="K70:P70" si="1">AVERAGE(K7:K68)</f>
        <v>3.8421052631578947</v>
      </c>
      <c r="L70" s="1204">
        <f t="shared" si="1"/>
        <v>313844.53225806454</v>
      </c>
      <c r="M70" s="1207">
        <f t="shared" si="1"/>
        <v>85.259940385397414</v>
      </c>
      <c r="N70" s="1209">
        <f t="shared" si="1"/>
        <v>32889658.887096774</v>
      </c>
      <c r="O70" s="1210">
        <f t="shared" si="1"/>
        <v>78.502410681745715</v>
      </c>
      <c r="P70" s="1211">
        <f t="shared" si="1"/>
        <v>93.594064516129038</v>
      </c>
      <c r="Q70" s="1097"/>
      <c r="R70" s="1206">
        <f>AVERAGE(R7:R68)</f>
        <v>361041.24193548388</v>
      </c>
      <c r="S70" s="1210">
        <f>AVERAGE(S7:S68)</f>
        <v>98.815741935483857</v>
      </c>
      <c r="T70" s="1210">
        <f t="shared" ref="T70:Y70" si="2">AVERAGE(T7:T68)</f>
        <v>37701886.065573767</v>
      </c>
      <c r="U70" s="1210">
        <f t="shared" si="2"/>
        <v>91.039672131147498</v>
      </c>
      <c r="V70" s="1210">
        <f>AVERAGE(V7:V68)</f>
        <v>108.60045483544511</v>
      </c>
      <c r="W70" s="1210">
        <f t="shared" si="2"/>
        <v>21.012950819672138</v>
      </c>
      <c r="X70" s="1210">
        <f t="shared" si="2"/>
        <v>35.520172413793105</v>
      </c>
      <c r="Y70" s="1207">
        <f t="shared" si="2"/>
        <v>62.465333333333334</v>
      </c>
      <c r="Z70" s="1180"/>
      <c r="AA70" s="1212">
        <f t="shared" ref="AA70:AK70" si="3">AVERAGE(AA7:AA68)</f>
        <v>2466.1451612903224</v>
      </c>
      <c r="AB70" s="1213">
        <f t="shared" si="3"/>
        <v>89.163165436668706</v>
      </c>
      <c r="AC70" s="1214">
        <f t="shared" si="3"/>
        <v>8637.3870967741932</v>
      </c>
      <c r="AD70" s="1214">
        <f t="shared" si="3"/>
        <v>3790.7096774193546</v>
      </c>
      <c r="AE70" s="1214">
        <f t="shared" si="3"/>
        <v>13.785714285714286</v>
      </c>
      <c r="AF70" s="1214">
        <f t="shared" si="3"/>
        <v>3238.9677419354839</v>
      </c>
      <c r="AG70" s="1214">
        <f t="shared" si="3"/>
        <v>499.45714285714286</v>
      </c>
      <c r="AH70" s="1214">
        <f t="shared" si="3"/>
        <v>3060.7</v>
      </c>
      <c r="AI70" s="1214">
        <f t="shared" si="3"/>
        <v>0</v>
      </c>
      <c r="AJ70" s="1214">
        <f t="shared" si="3"/>
        <v>28.967741935483872</v>
      </c>
      <c r="AK70" s="1215">
        <f t="shared" si="3"/>
        <v>964.87096774193549</v>
      </c>
    </row>
    <row r="71" spans="1:37" s="327" customFormat="1" ht="13.2" customHeight="1" thickTop="1" x14ac:dyDescent="0.2">
      <c r="A71" s="327" t="s">
        <v>255</v>
      </c>
      <c r="B71" s="1677" t="s">
        <v>472</v>
      </c>
      <c r="C71" s="1677"/>
      <c r="D71" s="1677"/>
      <c r="E71" s="1677"/>
      <c r="H71" s="284" t="s">
        <v>473</v>
      </c>
      <c r="I71" s="284"/>
      <c r="K71" s="284" t="s">
        <v>474</v>
      </c>
      <c r="L71" s="768"/>
      <c r="M71" s="768"/>
      <c r="N71" s="284"/>
      <c r="O71" s="284"/>
      <c r="P71" s="769"/>
      <c r="Q71" s="769"/>
      <c r="R71" s="1678" t="s">
        <v>475</v>
      </c>
      <c r="S71" s="1679"/>
      <c r="T71" s="1679"/>
      <c r="U71" s="1679"/>
      <c r="V71" s="1679"/>
      <c r="W71" s="770"/>
      <c r="X71" s="770"/>
      <c r="Y71" s="770"/>
      <c r="Z71" s="770"/>
      <c r="AA71" s="284" t="s">
        <v>476</v>
      </c>
      <c r="AB71" s="284"/>
      <c r="AC71" s="284"/>
      <c r="AD71" s="284"/>
      <c r="AE71" s="284"/>
      <c r="AF71" s="284"/>
      <c r="AG71" s="284"/>
      <c r="AH71" s="284"/>
      <c r="AI71" s="284"/>
      <c r="AJ71" s="284"/>
      <c r="AK71" s="284"/>
    </row>
    <row r="72" spans="1:37" s="327" customFormat="1" ht="13.2" customHeight="1" x14ac:dyDescent="0.2">
      <c r="B72" s="1680" t="s">
        <v>477</v>
      </c>
      <c r="C72" s="1681"/>
      <c r="D72" s="1681"/>
      <c r="E72" s="1681"/>
      <c r="F72" s="1681"/>
      <c r="H72" s="284" t="s">
        <v>478</v>
      </c>
      <c r="I72" s="284"/>
      <c r="K72" s="284" t="s">
        <v>479</v>
      </c>
      <c r="L72" s="278"/>
      <c r="M72" s="278"/>
      <c r="N72" s="284"/>
      <c r="O72" s="284"/>
      <c r="P72" s="769"/>
      <c r="Q72" s="769"/>
      <c r="R72" s="1680" t="s">
        <v>480</v>
      </c>
      <c r="S72" s="1680"/>
      <c r="T72" s="1680"/>
      <c r="U72" s="1680"/>
      <c r="V72" s="1680"/>
      <c r="W72" s="771"/>
      <c r="X72" s="771"/>
      <c r="Y72" s="771"/>
      <c r="Z72" s="771"/>
      <c r="AA72" s="284" t="s">
        <v>481</v>
      </c>
      <c r="AB72" s="284"/>
      <c r="AC72" s="284"/>
      <c r="AD72" s="284"/>
      <c r="AE72" s="284"/>
      <c r="AF72" s="284"/>
      <c r="AG72" s="284"/>
      <c r="AH72" s="284"/>
      <c r="AI72" s="284"/>
      <c r="AJ72" s="284"/>
      <c r="AK72" s="284"/>
    </row>
    <row r="73" spans="1:37" s="327" customFormat="1" ht="13.2" customHeight="1" x14ac:dyDescent="0.2">
      <c r="B73" s="278" t="s">
        <v>844</v>
      </c>
      <c r="C73" s="284"/>
      <c r="K73" s="284" t="s">
        <v>482</v>
      </c>
      <c r="L73" s="284"/>
      <c r="M73" s="284"/>
      <c r="N73" s="284"/>
      <c r="O73" s="284"/>
      <c r="P73" s="769"/>
      <c r="Q73" s="769"/>
      <c r="R73" s="1680" t="s">
        <v>483</v>
      </c>
      <c r="S73" s="1680"/>
      <c r="T73" s="1680"/>
      <c r="U73" s="1680"/>
      <c r="V73" s="1680"/>
      <c r="AA73" s="284" t="s">
        <v>484</v>
      </c>
      <c r="AB73" s="284"/>
      <c r="AC73" s="284"/>
      <c r="AD73" s="284"/>
      <c r="AE73" s="284"/>
      <c r="AF73" s="284"/>
      <c r="AG73" s="284"/>
      <c r="AH73" s="284"/>
      <c r="AI73" s="284"/>
      <c r="AJ73" s="284"/>
      <c r="AK73" s="284"/>
    </row>
    <row r="74" spans="1:37" s="327" customFormat="1" ht="13.2" customHeight="1" x14ac:dyDescent="0.2">
      <c r="A74" s="286"/>
      <c r="B74" s="772"/>
      <c r="C74" s="284"/>
      <c r="D74" s="284"/>
      <c r="E74" s="284"/>
      <c r="F74" s="284"/>
      <c r="G74" s="284"/>
      <c r="H74" s="284"/>
      <c r="I74" s="284"/>
      <c r="J74" s="284"/>
      <c r="K74" s="278"/>
      <c r="L74" s="284"/>
      <c r="N74" s="283"/>
      <c r="O74" s="283"/>
      <c r="P74" s="769"/>
      <c r="Q74" s="769"/>
      <c r="R74" s="1679" t="s">
        <v>485</v>
      </c>
      <c r="S74" s="1679"/>
      <c r="T74" s="1679"/>
      <c r="U74" s="1679"/>
      <c r="V74" s="1679"/>
      <c r="W74" s="1679"/>
      <c r="X74" s="1679"/>
      <c r="Y74" s="1679"/>
      <c r="Z74" s="770"/>
      <c r="AA74" s="284" t="s">
        <v>854</v>
      </c>
      <c r="AB74" s="278"/>
      <c r="AC74" s="278"/>
      <c r="AD74" s="278"/>
      <c r="AE74" s="276"/>
      <c r="AF74" s="283"/>
      <c r="AG74" s="283"/>
      <c r="AH74" s="283"/>
      <c r="AI74" s="283"/>
      <c r="AJ74" s="283"/>
      <c r="AK74" s="283"/>
    </row>
    <row r="75" spans="1:37" s="327" customFormat="1" ht="13.2" customHeight="1" x14ac:dyDescent="0.2">
      <c r="B75" s="278"/>
      <c r="C75" s="284"/>
      <c r="D75" s="284"/>
      <c r="E75" s="284"/>
      <c r="F75" s="284"/>
      <c r="G75" s="284"/>
      <c r="H75" s="284"/>
      <c r="I75" s="284"/>
      <c r="J75" s="284"/>
      <c r="K75" s="278"/>
      <c r="L75" s="284"/>
      <c r="M75" s="284"/>
      <c r="N75" s="283"/>
      <c r="O75" s="283"/>
      <c r="P75" s="769"/>
      <c r="Q75" s="769"/>
      <c r="R75" s="284" t="s">
        <v>486</v>
      </c>
      <c r="S75" s="283"/>
      <c r="T75" s="283"/>
      <c r="U75" s="283"/>
      <c r="V75" s="283"/>
      <c r="W75" s="283"/>
      <c r="X75" s="283"/>
      <c r="Y75" s="283"/>
      <c r="Z75" s="283"/>
      <c r="AE75" s="283"/>
      <c r="AF75" s="283"/>
      <c r="AG75" s="283"/>
      <c r="AH75" s="283"/>
      <c r="AI75" s="283"/>
      <c r="AJ75" s="283"/>
      <c r="AK75" s="283"/>
    </row>
    <row r="76" spans="1:37" s="327" customFormat="1" ht="13.95" customHeight="1" x14ac:dyDescent="0.2">
      <c r="B76" s="284"/>
      <c r="C76" s="284"/>
      <c r="D76" s="284"/>
      <c r="E76" s="284"/>
      <c r="F76" s="284"/>
      <c r="G76" s="284"/>
      <c r="H76" s="284"/>
      <c r="I76" s="284"/>
      <c r="J76" s="284"/>
      <c r="K76" s="278"/>
      <c r="L76"/>
      <c r="M76"/>
      <c r="N76" s="283"/>
      <c r="O76" s="283"/>
      <c r="P76" s="769"/>
      <c r="Q76" s="769"/>
      <c r="R76" s="773" t="s">
        <v>487</v>
      </c>
      <c r="S76" s="774"/>
      <c r="T76" s="774"/>
      <c r="U76" s="774"/>
      <c r="V76" s="774"/>
      <c r="W76" s="283"/>
      <c r="X76" s="283"/>
      <c r="Y76" s="283"/>
      <c r="Z76" s="283"/>
    </row>
    <row r="77" spans="1:37" s="327" customFormat="1" ht="13.2" customHeight="1" x14ac:dyDescent="0.2">
      <c r="C77" s="284"/>
      <c r="D77" s="284"/>
      <c r="E77" s="284"/>
      <c r="F77" s="284"/>
      <c r="G77" s="284"/>
      <c r="H77" s="284"/>
      <c r="I77" s="284"/>
      <c r="J77" s="284"/>
      <c r="P77" s="769"/>
      <c r="Q77" s="769"/>
      <c r="R77" s="284" t="s">
        <v>488</v>
      </c>
      <c r="S77" s="283"/>
      <c r="T77" s="283"/>
      <c r="U77" s="283"/>
      <c r="V77" s="283"/>
      <c r="W77" s="283"/>
      <c r="X77" s="283"/>
      <c r="Y77" s="283"/>
      <c r="Z77" s="283"/>
      <c r="AA77" s="1682"/>
      <c r="AB77" s="1682"/>
      <c r="AC77" s="1682"/>
      <c r="AD77" s="1682"/>
      <c r="AE77" s="1682"/>
      <c r="AF77" s="1682"/>
      <c r="AG77" s="1682"/>
      <c r="AH77" s="1682"/>
      <c r="AI77" s="1682"/>
      <c r="AJ77" s="564"/>
      <c r="AK77" s="564"/>
    </row>
    <row r="132" spans="1:37" ht="27" customHeight="1" x14ac:dyDescent="0.2">
      <c r="A132" s="1575"/>
      <c r="B132" s="1575"/>
      <c r="C132" s="1575"/>
      <c r="D132" s="1575"/>
      <c r="E132" s="1575"/>
      <c r="F132" s="1575"/>
      <c r="G132" s="1575"/>
      <c r="H132" s="1575"/>
      <c r="I132" s="1575"/>
      <c r="J132" s="1575"/>
      <c r="K132" s="1575"/>
      <c r="L132" s="1575"/>
      <c r="M132" s="1575"/>
      <c r="N132" s="1575"/>
      <c r="O132" s="1575"/>
      <c r="P132" s="1575"/>
      <c r="Q132" s="1575"/>
      <c r="R132" s="1575"/>
      <c r="S132" s="1575"/>
      <c r="T132" s="1575"/>
      <c r="U132" s="1575"/>
      <c r="V132" s="1575"/>
      <c r="W132" s="574"/>
      <c r="X132" s="574"/>
      <c r="Y132" s="574"/>
      <c r="Z132" s="574"/>
      <c r="AA132" s="1575"/>
      <c r="AB132" s="1575"/>
      <c r="AC132" s="1575"/>
      <c r="AD132" s="1575"/>
      <c r="AE132" s="1575"/>
      <c r="AF132" s="1575"/>
      <c r="AG132" s="1575"/>
      <c r="AH132" s="1575"/>
      <c r="AI132" s="1575"/>
      <c r="AJ132" s="574"/>
      <c r="AK132" s="574"/>
    </row>
  </sheetData>
  <autoFilter ref="A6:AK6" xr:uid="{06C87CF6-0756-4B6F-A1D3-9B0BFE6A05C7}"/>
  <mergeCells count="42">
    <mergeCell ref="R73:V73"/>
    <mergeCell ref="R74:Y74"/>
    <mergeCell ref="AA77:AI77"/>
    <mergeCell ref="A132:J132"/>
    <mergeCell ref="K132:V132"/>
    <mergeCell ref="AA132:AI132"/>
    <mergeCell ref="AH4:AH5"/>
    <mergeCell ref="AI4:AI5"/>
    <mergeCell ref="B71:E71"/>
    <mergeCell ref="R71:V71"/>
    <mergeCell ref="B72:F72"/>
    <mergeCell ref="R72:V72"/>
    <mergeCell ref="AD4:AD5"/>
    <mergeCell ref="AE4:AE5"/>
    <mergeCell ref="AF4:AF5"/>
    <mergeCell ref="AG4:AG5"/>
    <mergeCell ref="AJ3:AK5"/>
    <mergeCell ref="D4:D5"/>
    <mergeCell ref="E4:E5"/>
    <mergeCell ref="F4:F5"/>
    <mergeCell ref="M4:M5"/>
    <mergeCell ref="O4:O5"/>
    <mergeCell ref="S4:S5"/>
    <mergeCell ref="U4:U5"/>
    <mergeCell ref="AA4:AA5"/>
    <mergeCell ref="AB4:AB5"/>
    <mergeCell ref="V3:V5"/>
    <mergeCell ref="W3:W5"/>
    <mergeCell ref="X3:X5"/>
    <mergeCell ref="Y3:Y5"/>
    <mergeCell ref="AA3:AB3"/>
    <mergeCell ref="AC3:AI3"/>
    <mergeCell ref="H2:I2"/>
    <mergeCell ref="R2:S2"/>
    <mergeCell ref="B3:B5"/>
    <mergeCell ref="C3:C5"/>
    <mergeCell ref="D3:F3"/>
    <mergeCell ref="H3:H5"/>
    <mergeCell ref="I3:I5"/>
    <mergeCell ref="K3:K5"/>
    <mergeCell ref="L3:M3"/>
    <mergeCell ref="P3:P5"/>
  </mergeCells>
  <phoneticPr fontId="2"/>
  <dataValidations count="1">
    <dataValidation imeMode="disabled" allowBlank="1" showInputMessage="1" showErrorMessage="1" sqref="B7:AK68" xr:uid="{CF808552-2306-41CA-843A-C343927E7F09}"/>
  </dataValidations>
  <pageMargins left="0.74803149606299202" right="0.23622047244094502" top="0.81" bottom="0.39370078740157499" header="0.59055118110236204" footer="0.31496062992126"/>
  <pageSetup paperSize="9" scale="61" firstPageNumber="12" fitToWidth="0" orientation="portrait" r:id="rId1"/>
  <headerFooter alignWithMargins="0">
    <oddHeader>&amp;L&amp;"ＭＳ Ｐゴシック,太字"&amp;16 ６　都　市</oddHeader>
  </headerFooter>
  <colBreaks count="4" manualBreakCount="4">
    <brk id="17" min="1" max="76" man="1"/>
    <brk id="26" min="1" max="76" man="1"/>
    <brk id="37" max="72" man="1"/>
    <brk id="6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4351-6541-40F3-9932-98C7363017A0}">
  <dimension ref="A1:DA139"/>
  <sheetViews>
    <sheetView showGridLines="0" view="pageBreakPreview" zoomScaleNormal="100" zoomScaleSheetLayoutView="100" workbookViewId="0">
      <pane xSplit="1" ySplit="6" topLeftCell="BI7" activePane="bottomRight" state="frozen"/>
      <selection activeCell="E12" sqref="E12"/>
      <selection pane="topRight" activeCell="E12" sqref="E12"/>
      <selection pane="bottomLeft" activeCell="E12" sqref="E12"/>
      <selection pane="bottomRight" activeCell="BS6" sqref="BS6"/>
    </sheetView>
  </sheetViews>
  <sheetFormatPr defaultColWidth="8.88671875" defaultRowHeight="13.2" x14ac:dyDescent="0.2"/>
  <cols>
    <col min="1" max="1" width="12.88671875" customWidth="1"/>
    <col min="2" max="9" width="11.6640625" customWidth="1"/>
    <col min="10" max="10" width="9.44140625" customWidth="1"/>
    <col min="11" max="12" width="9.77734375" customWidth="1"/>
    <col min="13" max="13" width="7.33203125" customWidth="1"/>
    <col min="14" max="14" width="8.21875" customWidth="1"/>
    <col min="15" max="15" width="9.77734375" customWidth="1"/>
    <col min="16" max="17" width="9.21875" customWidth="1"/>
    <col min="18" max="18" width="9.6640625" customWidth="1"/>
    <col min="19" max="19" width="7.44140625" customWidth="1"/>
    <col min="20" max="20" width="8.109375" customWidth="1"/>
    <col min="21" max="21" width="9.6640625" customWidth="1"/>
    <col min="22" max="22" width="7.44140625" customWidth="1"/>
    <col min="23" max="23" width="10" customWidth="1"/>
    <col min="24" max="24" width="6.21875" customWidth="1"/>
    <col min="25" max="25" width="7.44140625" customWidth="1"/>
    <col min="26" max="26" width="10" customWidth="1"/>
    <col min="27" max="27" width="6.21875" customWidth="1"/>
    <col min="28" max="28" width="7.44140625" customWidth="1"/>
    <col min="29" max="29" width="10" customWidth="1"/>
    <col min="30" max="30" width="6.21875" customWidth="1"/>
    <col min="31" max="31" width="6.44140625" customWidth="1"/>
    <col min="32" max="32" width="9.44140625" customWidth="1"/>
    <col min="33" max="33" width="7.88671875" customWidth="1"/>
    <col min="34" max="34" width="6" customWidth="1"/>
    <col min="35" max="35" width="6.6640625" customWidth="1"/>
    <col min="36" max="36" width="7.33203125" customWidth="1"/>
    <col min="37" max="37" width="6" customWidth="1"/>
    <col min="38" max="38" width="7.44140625" customWidth="1"/>
    <col min="39" max="39" width="7.33203125" customWidth="1"/>
    <col min="40" max="42" width="7.44140625" customWidth="1"/>
    <col min="43" max="43" width="9.21875" customWidth="1"/>
    <col min="44" max="44" width="12.21875" customWidth="1"/>
    <col min="45" max="45" width="9.6640625" customWidth="1"/>
    <col min="46" max="46" width="12.33203125" customWidth="1"/>
    <col min="47" max="56" width="6.21875" customWidth="1"/>
    <col min="57" max="57" width="6.88671875" customWidth="1"/>
    <col min="58" max="58" width="1.88671875" customWidth="1"/>
    <col min="59" max="59" width="6.109375" customWidth="1"/>
    <col min="60" max="60" width="11.21875" customWidth="1"/>
    <col min="61" max="61" width="6.109375" customWidth="1"/>
    <col min="62" max="62" width="11.21875" customWidth="1"/>
    <col min="63" max="64" width="7.6640625" customWidth="1"/>
    <col min="65" max="65" width="13.77734375" customWidth="1"/>
    <col min="66" max="66" width="7.6640625" customWidth="1"/>
    <col min="67" max="67" width="10.21875" customWidth="1"/>
    <col min="68" max="69" width="7.44140625" customWidth="1"/>
    <col min="70" max="70" width="2" customWidth="1"/>
    <col min="71" max="71" width="9.33203125" customWidth="1"/>
    <col min="72" max="72" width="9.77734375" customWidth="1"/>
    <col min="73" max="73" width="2.109375" customWidth="1"/>
    <col min="74" max="82" width="8.44140625" customWidth="1"/>
    <col min="83" max="83" width="3" customWidth="1"/>
    <col min="84" max="84" width="12.44140625" customWidth="1"/>
    <col min="85" max="85" width="10.77734375" customWidth="1"/>
    <col min="86" max="86" width="9.88671875" customWidth="1"/>
    <col min="87" max="87" width="11.88671875" customWidth="1"/>
    <col min="88" max="95" width="10" customWidth="1"/>
    <col min="96" max="96" width="3.33203125" customWidth="1"/>
    <col min="97" max="97" width="9.77734375" customWidth="1"/>
    <col min="98" max="103" width="11.21875" customWidth="1"/>
    <col min="104" max="105" width="17.77734375" customWidth="1"/>
    <col min="106" max="106" width="8.88671875" customWidth="1"/>
  </cols>
  <sheetData>
    <row r="1" spans="1:105" ht="19.2" x14ac:dyDescent="0.2">
      <c r="A1" s="52" t="s">
        <v>489</v>
      </c>
      <c r="B1" s="52"/>
      <c r="C1" s="52"/>
      <c r="D1" s="52"/>
      <c r="E1" s="52"/>
      <c r="G1" s="52"/>
      <c r="I1" s="52"/>
      <c r="V1" s="38"/>
      <c r="W1" s="38"/>
      <c r="X1" s="38"/>
      <c r="Y1" s="38"/>
      <c r="Z1" s="38"/>
      <c r="AA1" s="38"/>
      <c r="AB1" s="38"/>
      <c r="AC1" s="38"/>
      <c r="AD1" s="38"/>
      <c r="AE1" s="38"/>
      <c r="AF1" s="38"/>
    </row>
    <row r="2" spans="1:105" ht="18.75" customHeight="1" x14ac:dyDescent="0.2">
      <c r="B2" s="334" t="s">
        <v>490</v>
      </c>
      <c r="C2" s="333"/>
      <c r="D2" s="333"/>
      <c r="E2" s="333"/>
      <c r="F2" s="337"/>
      <c r="G2" s="333"/>
      <c r="H2" s="337"/>
      <c r="I2" s="333"/>
      <c r="M2" s="1684"/>
      <c r="N2" s="1684"/>
      <c r="V2" s="340"/>
      <c r="W2" s="340"/>
      <c r="Y2" s="340"/>
      <c r="Z2" s="340"/>
      <c r="AB2" s="1684"/>
      <c r="AC2" s="1684"/>
      <c r="AN2" s="1684"/>
      <c r="AO2" s="1684"/>
      <c r="AP2" s="1684"/>
      <c r="AU2" s="333"/>
      <c r="AY2" s="1684"/>
      <c r="AZ2" s="1684"/>
      <c r="BA2" s="1684"/>
      <c r="BG2" s="339" t="s">
        <v>491</v>
      </c>
      <c r="BH2" s="340"/>
      <c r="BI2" s="340"/>
      <c r="BJ2" s="731"/>
      <c r="BK2" s="340"/>
      <c r="BL2" s="340"/>
      <c r="BM2" s="731"/>
      <c r="BN2" s="731"/>
      <c r="BO2" s="731"/>
      <c r="BP2" s="731"/>
      <c r="BQ2" s="731"/>
      <c r="BR2" s="731"/>
      <c r="BS2" s="339" t="s">
        <v>492</v>
      </c>
      <c r="BT2" s="339"/>
      <c r="BU2" s="333"/>
      <c r="BV2" s="1683" t="s">
        <v>493</v>
      </c>
      <c r="BW2" s="1684"/>
      <c r="BX2" s="1684"/>
      <c r="BY2" s="1683"/>
      <c r="BZ2" s="1684"/>
      <c r="CA2" s="1684"/>
      <c r="CB2" s="339"/>
      <c r="CC2" s="340"/>
      <c r="CD2" s="340"/>
      <c r="CF2" s="333" t="s">
        <v>494</v>
      </c>
      <c r="CG2" s="731"/>
      <c r="CJ2" s="603"/>
      <c r="CS2" s="333" t="s">
        <v>495</v>
      </c>
    </row>
    <row r="3" spans="1:105" ht="17.25" customHeight="1" x14ac:dyDescent="0.2">
      <c r="A3" s="61" t="s">
        <v>436</v>
      </c>
      <c r="B3" s="1686" t="s">
        <v>496</v>
      </c>
      <c r="C3" s="1686"/>
      <c r="D3" s="1686"/>
      <c r="E3" s="1589"/>
      <c r="F3" s="1589"/>
      <c r="G3" s="1589"/>
      <c r="H3" s="1589"/>
      <c r="I3" s="1690"/>
      <c r="J3" s="1685" t="s">
        <v>497</v>
      </c>
      <c r="K3" s="1686"/>
      <c r="L3" s="1686"/>
      <c r="M3" s="1686"/>
      <c r="N3" s="1686"/>
      <c r="O3" s="1670"/>
      <c r="P3" s="1691" t="s">
        <v>498</v>
      </c>
      <c r="Q3" s="1692"/>
      <c r="R3" s="1692"/>
      <c r="S3" s="1692"/>
      <c r="T3" s="1692"/>
      <c r="U3" s="1692"/>
      <c r="V3" s="1693" t="s">
        <v>499</v>
      </c>
      <c r="W3" s="1693"/>
      <c r="X3" s="1693"/>
      <c r="Y3" s="1693"/>
      <c r="Z3" s="1693"/>
      <c r="AA3" s="1693"/>
      <c r="AB3" s="1637" t="s">
        <v>500</v>
      </c>
      <c r="AC3" s="1686"/>
      <c r="AD3" s="1686"/>
      <c r="AE3" s="1686"/>
      <c r="AF3" s="1686"/>
      <c r="AG3" s="1694"/>
      <c r="AH3" s="1685" t="s">
        <v>501</v>
      </c>
      <c r="AI3" s="1686"/>
      <c r="AJ3" s="1686"/>
      <c r="AK3" s="1686"/>
      <c r="AL3" s="1686"/>
      <c r="AM3" s="1686"/>
      <c r="AN3" s="1695" t="s">
        <v>502</v>
      </c>
      <c r="AO3" s="1696"/>
      <c r="AP3" s="1529" t="s">
        <v>503</v>
      </c>
      <c r="AQ3" s="1552" t="s">
        <v>504</v>
      </c>
      <c r="AR3" s="1535"/>
      <c r="AS3" s="1535"/>
      <c r="AT3" s="1553"/>
      <c r="AU3" s="1535" t="s">
        <v>505</v>
      </c>
      <c r="AV3" s="1535"/>
      <c r="AW3" s="1535"/>
      <c r="AX3" s="1535"/>
      <c r="AY3" s="1535"/>
      <c r="AZ3" s="1535"/>
      <c r="BA3" s="1535"/>
      <c r="BB3" s="1535"/>
      <c r="BC3" s="1535"/>
      <c r="BD3" s="1689"/>
      <c r="BE3" s="1415" t="s">
        <v>506</v>
      </c>
      <c r="BF3" s="297"/>
      <c r="BG3" s="1456" t="s">
        <v>507</v>
      </c>
      <c r="BH3" s="1457"/>
      <c r="BI3" s="1453" t="s">
        <v>508</v>
      </c>
      <c r="BJ3" s="1457"/>
      <c r="BK3" s="1453" t="s">
        <v>509</v>
      </c>
      <c r="BL3" s="1454"/>
      <c r="BM3" s="1457"/>
      <c r="BN3" s="1453" t="s">
        <v>510</v>
      </c>
      <c r="BO3" s="1457"/>
      <c r="BP3" s="1453" t="s">
        <v>511</v>
      </c>
      <c r="BQ3" s="1455"/>
      <c r="BR3" s="297"/>
      <c r="BS3" s="1687" t="s">
        <v>512</v>
      </c>
      <c r="BT3" s="1688"/>
      <c r="BU3" s="775"/>
      <c r="BV3" s="1534" t="s">
        <v>513</v>
      </c>
      <c r="BW3" s="1535"/>
      <c r="BX3" s="1535"/>
      <c r="BY3" s="1535"/>
      <c r="BZ3" s="1535"/>
      <c r="CA3" s="1689"/>
      <c r="CB3" s="1453" t="s">
        <v>514</v>
      </c>
      <c r="CC3" s="1454"/>
      <c r="CD3" s="1455"/>
      <c r="CE3" s="297"/>
      <c r="CF3" s="1464" t="s">
        <v>515</v>
      </c>
      <c r="CG3" s="1458" t="s">
        <v>516</v>
      </c>
      <c r="CH3" s="1552" t="s">
        <v>517</v>
      </c>
      <c r="CI3" s="1689"/>
      <c r="CJ3" s="1453" t="s">
        <v>518</v>
      </c>
      <c r="CK3" s="1454"/>
      <c r="CL3" s="1454"/>
      <c r="CM3" s="1529" t="s">
        <v>519</v>
      </c>
      <c r="CN3" s="1587" t="s">
        <v>520</v>
      </c>
      <c r="CO3" s="1587" t="s">
        <v>521</v>
      </c>
      <c r="CP3" s="1587" t="s">
        <v>522</v>
      </c>
      <c r="CQ3" s="1643" t="s">
        <v>523</v>
      </c>
      <c r="CR3" s="350"/>
      <c r="CS3" s="1534" t="s">
        <v>524</v>
      </c>
      <c r="CT3" s="1535"/>
      <c r="CU3" s="1535"/>
      <c r="CV3" s="1535"/>
      <c r="CW3" s="1535"/>
      <c r="CX3" s="1535"/>
      <c r="CY3" s="1535"/>
      <c r="CZ3" s="1529" t="s">
        <v>525</v>
      </c>
      <c r="DA3" s="1643" t="s">
        <v>526</v>
      </c>
    </row>
    <row r="4" spans="1:105" ht="17.25" customHeight="1" x14ac:dyDescent="0.2">
      <c r="A4" s="576"/>
      <c r="B4" s="1714" t="s">
        <v>527</v>
      </c>
      <c r="C4" s="1714"/>
      <c r="D4" s="1715"/>
      <c r="E4" s="1714" t="s">
        <v>528</v>
      </c>
      <c r="F4" s="1714"/>
      <c r="G4" s="1714"/>
      <c r="H4" s="1714"/>
      <c r="I4" s="1716"/>
      <c r="J4" s="1717" t="s">
        <v>527</v>
      </c>
      <c r="K4" s="1714"/>
      <c r="L4" s="1718"/>
      <c r="M4" s="1719" t="s">
        <v>528</v>
      </c>
      <c r="N4" s="1714"/>
      <c r="O4" s="1720"/>
      <c r="P4" s="1719" t="s">
        <v>527</v>
      </c>
      <c r="Q4" s="1714"/>
      <c r="R4" s="1715"/>
      <c r="S4" s="1708" t="s">
        <v>528</v>
      </c>
      <c r="T4" s="1709"/>
      <c r="U4" s="1709"/>
      <c r="V4" s="1721" t="s">
        <v>527</v>
      </c>
      <c r="W4" s="1709"/>
      <c r="X4" s="1722"/>
      <c r="Y4" s="1708" t="s">
        <v>528</v>
      </c>
      <c r="Z4" s="1709"/>
      <c r="AA4" s="1722"/>
      <c r="AB4" s="1708" t="s">
        <v>527</v>
      </c>
      <c r="AC4" s="1709"/>
      <c r="AD4" s="1722"/>
      <c r="AE4" s="1719" t="s">
        <v>528</v>
      </c>
      <c r="AF4" s="1714"/>
      <c r="AG4" s="1716"/>
      <c r="AH4" s="1717" t="s">
        <v>527</v>
      </c>
      <c r="AI4" s="1714"/>
      <c r="AJ4" s="1715"/>
      <c r="AK4" s="1708" t="s">
        <v>528</v>
      </c>
      <c r="AL4" s="1709"/>
      <c r="AM4" s="1722"/>
      <c r="AN4" s="1563" t="s">
        <v>529</v>
      </c>
      <c r="AO4" s="1675" t="s">
        <v>530</v>
      </c>
      <c r="AP4" s="1697"/>
      <c r="AQ4" s="577"/>
      <c r="AR4" s="1503" t="s">
        <v>531</v>
      </c>
      <c r="AS4" s="1701"/>
      <c r="AT4" s="776" t="s">
        <v>532</v>
      </c>
      <c r="AU4" s="68"/>
      <c r="AV4" s="1650" t="s">
        <v>533</v>
      </c>
      <c r="AW4" s="1650" t="s">
        <v>534</v>
      </c>
      <c r="AX4" s="1650" t="s">
        <v>535</v>
      </c>
      <c r="AY4" s="1723" t="s">
        <v>536</v>
      </c>
      <c r="AZ4" s="1650" t="s">
        <v>537</v>
      </c>
      <c r="BA4" s="1650" t="s">
        <v>538</v>
      </c>
      <c r="BB4" s="1650" t="s">
        <v>539</v>
      </c>
      <c r="BC4" s="1650" t="s">
        <v>540</v>
      </c>
      <c r="BD4" s="1650" t="s">
        <v>541</v>
      </c>
      <c r="BE4" s="1702" t="s">
        <v>542</v>
      </c>
      <c r="BF4" s="297"/>
      <c r="BG4" s="1704" t="s">
        <v>542</v>
      </c>
      <c r="BH4" s="1650" t="s">
        <v>543</v>
      </c>
      <c r="BI4" s="1650" t="s">
        <v>542</v>
      </c>
      <c r="BJ4" s="1650" t="s">
        <v>544</v>
      </c>
      <c r="BK4" s="777" t="s">
        <v>542</v>
      </c>
      <c r="BL4" s="374"/>
      <c r="BM4" s="374" t="s">
        <v>544</v>
      </c>
      <c r="BN4" s="374" t="s">
        <v>542</v>
      </c>
      <c r="BO4" s="374" t="s">
        <v>545</v>
      </c>
      <c r="BP4" s="374" t="s">
        <v>542</v>
      </c>
      <c r="BQ4" s="375"/>
      <c r="BR4" s="778"/>
      <c r="BS4" s="1726" t="s">
        <v>542</v>
      </c>
      <c r="BT4" s="1581" t="s">
        <v>546</v>
      </c>
      <c r="BU4" s="775"/>
      <c r="BV4" s="1728" t="s">
        <v>547</v>
      </c>
      <c r="BW4" s="1729"/>
      <c r="BX4" s="1729"/>
      <c r="BY4" s="1650" t="s">
        <v>548</v>
      </c>
      <c r="BZ4" s="1650"/>
      <c r="CA4" s="1650"/>
      <c r="CB4" s="1652" t="s">
        <v>548</v>
      </c>
      <c r="CC4" s="1729"/>
      <c r="CD4" s="1730"/>
      <c r="CE4" s="778"/>
      <c r="CF4" s="1451"/>
      <c r="CG4" s="1711"/>
      <c r="CH4" s="1504"/>
      <c r="CI4" s="1712"/>
      <c r="CJ4" s="1554" t="s">
        <v>549</v>
      </c>
      <c r="CK4" s="1554" t="s">
        <v>550</v>
      </c>
      <c r="CL4" s="1503" t="s">
        <v>551</v>
      </c>
      <c r="CM4" s="1530"/>
      <c r="CN4" s="1710"/>
      <c r="CO4" s="1710"/>
      <c r="CP4" s="1710"/>
      <c r="CQ4" s="1644"/>
      <c r="CR4" s="350"/>
      <c r="CS4" s="376"/>
      <c r="CT4" s="1673" t="s">
        <v>552</v>
      </c>
      <c r="CU4" s="1673" t="s">
        <v>553</v>
      </c>
      <c r="CV4" s="1673" t="s">
        <v>554</v>
      </c>
      <c r="CW4" s="1673" t="s">
        <v>555</v>
      </c>
      <c r="CX4" s="1657" t="s">
        <v>556</v>
      </c>
      <c r="CY4" s="1657" t="s">
        <v>557</v>
      </c>
      <c r="CZ4" s="1530"/>
      <c r="DA4" s="1644"/>
    </row>
    <row r="5" spans="1:105" ht="17.25" customHeight="1" x14ac:dyDescent="0.2">
      <c r="A5" s="576"/>
      <c r="B5" s="779" t="s">
        <v>558</v>
      </c>
      <c r="C5" s="779" t="s">
        <v>559</v>
      </c>
      <c r="D5" s="780" t="s">
        <v>560</v>
      </c>
      <c r="E5" s="779" t="s">
        <v>558</v>
      </c>
      <c r="F5" s="781" t="s">
        <v>561</v>
      </c>
      <c r="G5" s="779" t="s">
        <v>559</v>
      </c>
      <c r="H5" s="781" t="s">
        <v>562</v>
      </c>
      <c r="I5" s="782" t="s">
        <v>560</v>
      </c>
      <c r="J5" s="783" t="s">
        <v>563</v>
      </c>
      <c r="K5" s="784" t="s">
        <v>564</v>
      </c>
      <c r="L5" s="785" t="s">
        <v>560</v>
      </c>
      <c r="M5" s="86" t="s">
        <v>563</v>
      </c>
      <c r="N5" s="784" t="s">
        <v>564</v>
      </c>
      <c r="O5" s="784" t="s">
        <v>560</v>
      </c>
      <c r="P5" s="86" t="s">
        <v>563</v>
      </c>
      <c r="Q5" s="784" t="s">
        <v>565</v>
      </c>
      <c r="R5" s="86" t="s">
        <v>560</v>
      </c>
      <c r="S5" s="86" t="s">
        <v>563</v>
      </c>
      <c r="T5" s="86" t="s">
        <v>565</v>
      </c>
      <c r="U5" s="786" t="s">
        <v>560</v>
      </c>
      <c r="V5" s="784" t="s">
        <v>563</v>
      </c>
      <c r="W5" s="86" t="s">
        <v>565</v>
      </c>
      <c r="X5" s="787" t="s">
        <v>560</v>
      </c>
      <c r="Y5" s="86" t="s">
        <v>563</v>
      </c>
      <c r="Z5" s="86" t="s">
        <v>565</v>
      </c>
      <c r="AA5" s="787" t="s">
        <v>560</v>
      </c>
      <c r="AB5" s="86" t="s">
        <v>563</v>
      </c>
      <c r="AC5" s="86" t="s">
        <v>565</v>
      </c>
      <c r="AD5" s="787" t="s">
        <v>560</v>
      </c>
      <c r="AE5" s="86" t="s">
        <v>563</v>
      </c>
      <c r="AF5" s="784" t="s">
        <v>565</v>
      </c>
      <c r="AG5" s="788" t="s">
        <v>560</v>
      </c>
      <c r="AH5" s="783" t="s">
        <v>563</v>
      </c>
      <c r="AI5" s="784" t="s">
        <v>565</v>
      </c>
      <c r="AJ5" s="86" t="s">
        <v>560</v>
      </c>
      <c r="AK5" s="86" t="s">
        <v>563</v>
      </c>
      <c r="AL5" s="86" t="s">
        <v>565</v>
      </c>
      <c r="AM5" s="787" t="s">
        <v>560</v>
      </c>
      <c r="AN5" s="1699"/>
      <c r="AO5" s="1700"/>
      <c r="AP5" s="1698"/>
      <c r="AQ5" s="789"/>
      <c r="AR5" s="737"/>
      <c r="AS5" s="790" t="s">
        <v>566</v>
      </c>
      <c r="AT5" s="791" t="s">
        <v>567</v>
      </c>
      <c r="AU5" s="792"/>
      <c r="AV5" s="1651"/>
      <c r="AW5" s="1651"/>
      <c r="AX5" s="1651"/>
      <c r="AY5" s="1724"/>
      <c r="AZ5" s="1651"/>
      <c r="BA5" s="1651"/>
      <c r="BB5" s="1651"/>
      <c r="BC5" s="1651"/>
      <c r="BD5" s="1651"/>
      <c r="BE5" s="1703"/>
      <c r="BF5" s="297"/>
      <c r="BG5" s="1705"/>
      <c r="BH5" s="1651"/>
      <c r="BI5" s="1651"/>
      <c r="BJ5" s="1651"/>
      <c r="BK5" s="793"/>
      <c r="BL5" s="794"/>
      <c r="BM5" s="794"/>
      <c r="BN5" s="794"/>
      <c r="BO5" s="794"/>
      <c r="BP5" s="794"/>
      <c r="BQ5" s="795"/>
      <c r="BR5" s="778"/>
      <c r="BS5" s="1727"/>
      <c r="BT5" s="1533"/>
      <c r="BU5" s="775"/>
      <c r="BV5" s="796" t="s">
        <v>333</v>
      </c>
      <c r="BW5" s="780" t="s">
        <v>328</v>
      </c>
      <c r="BX5" s="797" t="s">
        <v>568</v>
      </c>
      <c r="BY5" s="794" t="s">
        <v>333</v>
      </c>
      <c r="BZ5" s="780" t="s">
        <v>328</v>
      </c>
      <c r="CA5" s="780" t="s">
        <v>568</v>
      </c>
      <c r="CB5" s="794" t="s">
        <v>333</v>
      </c>
      <c r="CC5" s="780" t="s">
        <v>328</v>
      </c>
      <c r="CD5" s="798" t="s">
        <v>568</v>
      </c>
      <c r="CE5" s="778"/>
      <c r="CF5" s="1452"/>
      <c r="CG5" s="1699"/>
      <c r="CH5" s="68"/>
      <c r="CI5" s="799" t="s">
        <v>569</v>
      </c>
      <c r="CJ5" s="1699"/>
      <c r="CK5" s="1699"/>
      <c r="CL5" s="1713"/>
      <c r="CM5" s="1531"/>
      <c r="CN5" s="1707"/>
      <c r="CO5" s="1707"/>
      <c r="CP5" s="1707"/>
      <c r="CQ5" s="1706"/>
      <c r="CR5" s="350"/>
      <c r="CS5" s="800"/>
      <c r="CT5" s="1531"/>
      <c r="CU5" s="1531"/>
      <c r="CV5" s="1531"/>
      <c r="CW5" s="1531"/>
      <c r="CX5" s="1707"/>
      <c r="CY5" s="1707"/>
      <c r="CZ5" s="1531"/>
      <c r="DA5" s="1706"/>
    </row>
    <row r="6" spans="1:105" ht="17.25" customHeight="1" x14ac:dyDescent="0.2">
      <c r="A6" s="801" t="s">
        <v>570</v>
      </c>
      <c r="B6" s="93" t="s">
        <v>571</v>
      </c>
      <c r="C6" s="93" t="s">
        <v>335</v>
      </c>
      <c r="D6" s="94" t="s">
        <v>335</v>
      </c>
      <c r="E6" s="93" t="s">
        <v>571</v>
      </c>
      <c r="F6" s="93" t="s">
        <v>571</v>
      </c>
      <c r="G6" s="93" t="s">
        <v>335</v>
      </c>
      <c r="H6" s="93" t="s">
        <v>335</v>
      </c>
      <c r="I6" s="390" t="s">
        <v>335</v>
      </c>
      <c r="J6" s="92" t="s">
        <v>572</v>
      </c>
      <c r="K6" s="93" t="s">
        <v>335</v>
      </c>
      <c r="L6" s="96" t="s">
        <v>335</v>
      </c>
      <c r="M6" s="94" t="s">
        <v>572</v>
      </c>
      <c r="N6" s="93" t="s">
        <v>335</v>
      </c>
      <c r="O6" s="93" t="s">
        <v>335</v>
      </c>
      <c r="P6" s="94" t="s">
        <v>572</v>
      </c>
      <c r="Q6" s="93" t="s">
        <v>335</v>
      </c>
      <c r="R6" s="94" t="s">
        <v>335</v>
      </c>
      <c r="S6" s="94" t="s">
        <v>572</v>
      </c>
      <c r="T6" s="94" t="s">
        <v>335</v>
      </c>
      <c r="U6" s="95" t="s">
        <v>335</v>
      </c>
      <c r="V6" s="93" t="s">
        <v>572</v>
      </c>
      <c r="W6" s="94" t="s">
        <v>335</v>
      </c>
      <c r="X6" s="96" t="s">
        <v>335</v>
      </c>
      <c r="Y6" s="94" t="s">
        <v>572</v>
      </c>
      <c r="Z6" s="94" t="s">
        <v>335</v>
      </c>
      <c r="AA6" s="96" t="s">
        <v>335</v>
      </c>
      <c r="AB6" s="94" t="s">
        <v>572</v>
      </c>
      <c r="AC6" s="94" t="s">
        <v>335</v>
      </c>
      <c r="AD6" s="96" t="s">
        <v>335</v>
      </c>
      <c r="AE6" s="94" t="s">
        <v>572</v>
      </c>
      <c r="AF6" s="94" t="s">
        <v>335</v>
      </c>
      <c r="AG6" s="95" t="s">
        <v>335</v>
      </c>
      <c r="AH6" s="92" t="s">
        <v>572</v>
      </c>
      <c r="AI6" s="94" t="s">
        <v>335</v>
      </c>
      <c r="AJ6" s="94" t="s">
        <v>335</v>
      </c>
      <c r="AK6" s="94" t="s">
        <v>572</v>
      </c>
      <c r="AL6" s="94" t="s">
        <v>335</v>
      </c>
      <c r="AM6" s="96" t="s">
        <v>335</v>
      </c>
      <c r="AN6" s="94" t="s">
        <v>572</v>
      </c>
      <c r="AO6" s="94" t="s">
        <v>572</v>
      </c>
      <c r="AP6" s="94" t="s">
        <v>141</v>
      </c>
      <c r="AQ6" s="96" t="s">
        <v>573</v>
      </c>
      <c r="AR6" s="94" t="s">
        <v>574</v>
      </c>
      <c r="AS6" s="94" t="s">
        <v>574</v>
      </c>
      <c r="AT6" s="95" t="s">
        <v>574</v>
      </c>
      <c r="AU6" s="93" t="s">
        <v>141</v>
      </c>
      <c r="AV6" s="94" t="s">
        <v>141</v>
      </c>
      <c r="AW6" s="94" t="s">
        <v>141</v>
      </c>
      <c r="AX6" s="94" t="s">
        <v>141</v>
      </c>
      <c r="AY6" s="93" t="s">
        <v>141</v>
      </c>
      <c r="AZ6" s="94" t="s">
        <v>141</v>
      </c>
      <c r="BA6" s="94" t="s">
        <v>141</v>
      </c>
      <c r="BB6" s="94" t="s">
        <v>141</v>
      </c>
      <c r="BC6" s="94" t="s">
        <v>141</v>
      </c>
      <c r="BD6" s="94" t="s">
        <v>141</v>
      </c>
      <c r="BE6" s="95" t="s">
        <v>573</v>
      </c>
      <c r="BF6" s="391"/>
      <c r="BG6" s="92" t="s">
        <v>573</v>
      </c>
      <c r="BH6" s="94" t="s">
        <v>468</v>
      </c>
      <c r="BI6" s="94" t="s">
        <v>141</v>
      </c>
      <c r="BJ6" s="94" t="s">
        <v>468</v>
      </c>
      <c r="BK6" s="93" t="s">
        <v>141</v>
      </c>
      <c r="BL6" s="94" t="s">
        <v>575</v>
      </c>
      <c r="BM6" s="94" t="s">
        <v>468</v>
      </c>
      <c r="BN6" s="94" t="s">
        <v>141</v>
      </c>
      <c r="BO6" s="94" t="s">
        <v>468</v>
      </c>
      <c r="BP6" s="94" t="s">
        <v>141</v>
      </c>
      <c r="BQ6" s="95" t="s">
        <v>575</v>
      </c>
      <c r="BR6" s="391"/>
      <c r="BS6" s="802" t="s">
        <v>576</v>
      </c>
      <c r="BT6" s="803" t="s">
        <v>335</v>
      </c>
      <c r="BU6" s="804"/>
      <c r="BV6" s="92" t="s">
        <v>141</v>
      </c>
      <c r="BW6" s="94" t="s">
        <v>335</v>
      </c>
      <c r="BX6" s="96" t="s">
        <v>335</v>
      </c>
      <c r="BY6" s="94" t="s">
        <v>141</v>
      </c>
      <c r="BZ6" s="94" t="s">
        <v>335</v>
      </c>
      <c r="CA6" s="94" t="s">
        <v>335</v>
      </c>
      <c r="CB6" s="94" t="s">
        <v>141</v>
      </c>
      <c r="CC6" s="94" t="s">
        <v>335</v>
      </c>
      <c r="CD6" s="95" t="s">
        <v>335</v>
      </c>
      <c r="CE6" s="391"/>
      <c r="CF6" s="92" t="s">
        <v>129</v>
      </c>
      <c r="CG6" s="94" t="s">
        <v>577</v>
      </c>
      <c r="CH6" s="94" t="s">
        <v>577</v>
      </c>
      <c r="CI6" s="94" t="s">
        <v>577</v>
      </c>
      <c r="CJ6" s="94" t="s">
        <v>141</v>
      </c>
      <c r="CK6" s="94" t="s">
        <v>141</v>
      </c>
      <c r="CL6" s="96" t="s">
        <v>141</v>
      </c>
      <c r="CM6" s="94" t="s">
        <v>578</v>
      </c>
      <c r="CN6" s="96" t="s">
        <v>578</v>
      </c>
      <c r="CO6" s="96" t="s">
        <v>578</v>
      </c>
      <c r="CP6" s="96" t="s">
        <v>579</v>
      </c>
      <c r="CQ6" s="95" t="s">
        <v>579</v>
      </c>
      <c r="CR6" s="391"/>
      <c r="CS6" s="92" t="s">
        <v>141</v>
      </c>
      <c r="CT6" s="96" t="s">
        <v>141</v>
      </c>
      <c r="CU6" s="96" t="s">
        <v>141</v>
      </c>
      <c r="CV6" s="96" t="s">
        <v>141</v>
      </c>
      <c r="CW6" s="96" t="s">
        <v>141</v>
      </c>
      <c r="CX6" s="96" t="s">
        <v>141</v>
      </c>
      <c r="CY6" s="96" t="s">
        <v>141</v>
      </c>
      <c r="CZ6" s="94" t="s">
        <v>468</v>
      </c>
      <c r="DA6" s="95" t="s">
        <v>468</v>
      </c>
    </row>
    <row r="7" spans="1:105" s="1078" customFormat="1" ht="15.75" customHeight="1" x14ac:dyDescent="0.2">
      <c r="A7" s="1093" t="s">
        <v>142</v>
      </c>
      <c r="B7" s="1094">
        <v>1</v>
      </c>
      <c r="C7" s="1094" t="s">
        <v>152</v>
      </c>
      <c r="D7" s="1094" t="s">
        <v>152</v>
      </c>
      <c r="E7" s="1094">
        <v>12</v>
      </c>
      <c r="F7" s="1094">
        <v>4</v>
      </c>
      <c r="G7" s="1094" t="s">
        <v>152</v>
      </c>
      <c r="H7" s="1094">
        <v>400</v>
      </c>
      <c r="I7" s="1175" t="s">
        <v>152</v>
      </c>
      <c r="J7" s="1038">
        <v>43</v>
      </c>
      <c r="K7" s="1099" t="s">
        <v>152</v>
      </c>
      <c r="L7" s="1216" t="s">
        <v>152</v>
      </c>
      <c r="M7" s="1099">
        <v>2</v>
      </c>
      <c r="N7" s="1027" t="s">
        <v>152</v>
      </c>
      <c r="O7" s="1027" t="s">
        <v>152</v>
      </c>
      <c r="P7" s="1217">
        <v>21</v>
      </c>
      <c r="Q7" s="1027" t="s">
        <v>152</v>
      </c>
      <c r="R7" s="1027" t="s">
        <v>152</v>
      </c>
      <c r="S7" s="1027">
        <v>4</v>
      </c>
      <c r="T7" s="1027" t="s">
        <v>152</v>
      </c>
      <c r="U7" s="1117" t="s">
        <v>152</v>
      </c>
      <c r="V7" s="1218" t="s">
        <v>143</v>
      </c>
      <c r="W7" s="1219" t="s">
        <v>143</v>
      </c>
      <c r="X7" s="1217" t="s">
        <v>143</v>
      </c>
      <c r="Y7" s="1099" t="s">
        <v>143</v>
      </c>
      <c r="Z7" s="1219" t="s">
        <v>143</v>
      </c>
      <c r="AA7" s="1217" t="s">
        <v>143</v>
      </c>
      <c r="AB7" s="1099">
        <v>1</v>
      </c>
      <c r="AC7" s="1219" t="s">
        <v>152</v>
      </c>
      <c r="AD7" s="1217" t="s">
        <v>152</v>
      </c>
      <c r="AE7" s="1027">
        <v>14</v>
      </c>
      <c r="AF7" s="1027" t="s">
        <v>152</v>
      </c>
      <c r="AG7" s="1117" t="s">
        <v>152</v>
      </c>
      <c r="AH7" s="1220" t="s">
        <v>143</v>
      </c>
      <c r="AI7" s="1027" t="s">
        <v>143</v>
      </c>
      <c r="AJ7" s="1027" t="s">
        <v>143</v>
      </c>
      <c r="AK7" s="1221" t="s">
        <v>580</v>
      </c>
      <c r="AL7" s="1027">
        <v>144</v>
      </c>
      <c r="AM7" s="1219">
        <v>32</v>
      </c>
      <c r="AN7" s="1099" t="s">
        <v>143</v>
      </c>
      <c r="AO7" s="1027">
        <v>1</v>
      </c>
      <c r="AP7" s="1219">
        <v>6</v>
      </c>
      <c r="AQ7" s="1217">
        <v>6</v>
      </c>
      <c r="AR7" s="1099">
        <v>882703</v>
      </c>
      <c r="AS7" s="1222">
        <v>350.9306966906795</v>
      </c>
      <c r="AT7" s="1117">
        <v>1144332</v>
      </c>
      <c r="AU7" s="1218">
        <v>13</v>
      </c>
      <c r="AV7" s="1027">
        <v>1</v>
      </c>
      <c r="AW7" s="1027" t="s">
        <v>143</v>
      </c>
      <c r="AX7" s="1219">
        <v>11</v>
      </c>
      <c r="AY7" s="1099">
        <v>1</v>
      </c>
      <c r="AZ7" s="1027" t="s">
        <v>143</v>
      </c>
      <c r="BA7" s="1027" t="s">
        <v>143</v>
      </c>
      <c r="BB7" s="1027" t="s">
        <v>143</v>
      </c>
      <c r="BC7" s="1027" t="s">
        <v>143</v>
      </c>
      <c r="BD7" s="1027" t="s">
        <v>143</v>
      </c>
      <c r="BE7" s="1117">
        <v>1</v>
      </c>
      <c r="BF7" s="1180"/>
      <c r="BG7" s="1220">
        <v>3</v>
      </c>
      <c r="BH7" s="1099">
        <v>19561</v>
      </c>
      <c r="BI7" s="1099">
        <v>1</v>
      </c>
      <c r="BJ7" s="1217">
        <v>31200</v>
      </c>
      <c r="BK7" s="1099">
        <v>5</v>
      </c>
      <c r="BL7" s="1027">
        <v>5</v>
      </c>
      <c r="BM7" s="1027">
        <v>81690</v>
      </c>
      <c r="BN7" s="1027">
        <v>2</v>
      </c>
      <c r="BO7" s="1027">
        <v>1973</v>
      </c>
      <c r="BP7" s="1027">
        <v>5</v>
      </c>
      <c r="BQ7" s="1117">
        <v>21</v>
      </c>
      <c r="BR7" s="1180"/>
      <c r="BS7" s="1223">
        <v>2</v>
      </c>
      <c r="BT7" s="1224">
        <v>2212</v>
      </c>
      <c r="BU7" s="1225"/>
      <c r="BV7" s="1220">
        <v>0</v>
      </c>
      <c r="BW7" s="1027">
        <v>0</v>
      </c>
      <c r="BX7" s="1027">
        <v>0</v>
      </c>
      <c r="BY7" s="1094">
        <v>59</v>
      </c>
      <c r="BZ7" s="1027">
        <v>2518</v>
      </c>
      <c r="CA7" s="1027">
        <v>2428</v>
      </c>
      <c r="CB7" s="1094">
        <v>1</v>
      </c>
      <c r="CC7" s="1027">
        <v>30</v>
      </c>
      <c r="CD7" s="1117">
        <v>11</v>
      </c>
      <c r="CE7" s="1180"/>
      <c r="CF7" s="1038">
        <v>390</v>
      </c>
      <c r="CG7" s="1099">
        <v>70</v>
      </c>
      <c r="CH7" s="1099">
        <v>14</v>
      </c>
      <c r="CI7" s="1099">
        <v>14</v>
      </c>
      <c r="CJ7" s="1099">
        <v>2</v>
      </c>
      <c r="CK7" s="1217">
        <v>3</v>
      </c>
      <c r="CL7" s="1217">
        <v>6</v>
      </c>
      <c r="CM7" s="1099">
        <v>70</v>
      </c>
      <c r="CN7" s="1217">
        <v>16433</v>
      </c>
      <c r="CO7" s="1217">
        <v>170</v>
      </c>
      <c r="CP7" s="1217">
        <v>221</v>
      </c>
      <c r="CQ7" s="1095">
        <v>160</v>
      </c>
      <c r="CR7" s="1180"/>
      <c r="CS7" s="1038">
        <v>555</v>
      </c>
      <c r="CT7" s="1219">
        <v>23</v>
      </c>
      <c r="CU7" s="1219">
        <v>2</v>
      </c>
      <c r="CV7" s="1219">
        <v>464</v>
      </c>
      <c r="CW7" s="1219">
        <v>57</v>
      </c>
      <c r="CX7" s="1226">
        <v>9</v>
      </c>
      <c r="CY7" s="1226" t="s">
        <v>143</v>
      </c>
      <c r="CZ7" s="1099">
        <v>1083878.47</v>
      </c>
      <c r="DA7" s="1095">
        <v>76099.759999999995</v>
      </c>
    </row>
    <row r="8" spans="1:105" s="1078" customFormat="1" ht="15.75" customHeight="1" x14ac:dyDescent="0.2">
      <c r="A8" s="1106" t="s">
        <v>144</v>
      </c>
      <c r="B8" s="1107" t="s">
        <v>143</v>
      </c>
      <c r="C8" s="1107" t="s">
        <v>143</v>
      </c>
      <c r="D8" s="1107" t="s">
        <v>143</v>
      </c>
      <c r="E8" s="1107">
        <v>27</v>
      </c>
      <c r="F8" s="1107">
        <v>19</v>
      </c>
      <c r="G8" s="1107">
        <v>2385</v>
      </c>
      <c r="H8" s="1107">
        <v>91</v>
      </c>
      <c r="I8" s="1227">
        <v>339</v>
      </c>
      <c r="J8" s="1039">
        <v>52</v>
      </c>
      <c r="K8" s="1040">
        <v>14395</v>
      </c>
      <c r="L8" s="1228">
        <v>1248</v>
      </c>
      <c r="M8" s="1040">
        <v>1</v>
      </c>
      <c r="N8" s="1040">
        <v>422</v>
      </c>
      <c r="O8" s="1032">
        <v>20</v>
      </c>
      <c r="P8" s="1228">
        <v>26</v>
      </c>
      <c r="Q8" s="1040">
        <v>7593</v>
      </c>
      <c r="R8" s="1040">
        <v>651</v>
      </c>
      <c r="S8" s="1040">
        <v>1</v>
      </c>
      <c r="T8" s="1040">
        <v>315</v>
      </c>
      <c r="U8" s="1034">
        <v>18</v>
      </c>
      <c r="V8" s="1107" t="s">
        <v>143</v>
      </c>
      <c r="W8" s="1228" t="s">
        <v>143</v>
      </c>
      <c r="X8" s="1228" t="s">
        <v>143</v>
      </c>
      <c r="Y8" s="1040" t="s">
        <v>143</v>
      </c>
      <c r="Z8" s="1228" t="s">
        <v>143</v>
      </c>
      <c r="AA8" s="1228" t="s">
        <v>143</v>
      </c>
      <c r="AB8" s="1040" t="s">
        <v>143</v>
      </c>
      <c r="AC8" s="1228" t="s">
        <v>143</v>
      </c>
      <c r="AD8" s="1228" t="s">
        <v>143</v>
      </c>
      <c r="AE8" s="1040">
        <v>13</v>
      </c>
      <c r="AF8" s="1040">
        <v>8713</v>
      </c>
      <c r="AG8" s="1108">
        <v>773</v>
      </c>
      <c r="AH8" s="1039" t="s">
        <v>143</v>
      </c>
      <c r="AI8" s="1040" t="s">
        <v>143</v>
      </c>
      <c r="AJ8" s="1040" t="s">
        <v>143</v>
      </c>
      <c r="AK8" s="1040">
        <v>4</v>
      </c>
      <c r="AL8" s="1040">
        <v>194</v>
      </c>
      <c r="AM8" s="1228">
        <v>61</v>
      </c>
      <c r="AN8" s="1040" t="s">
        <v>143</v>
      </c>
      <c r="AO8" s="1040" t="s">
        <v>143</v>
      </c>
      <c r="AP8" s="1228">
        <v>4</v>
      </c>
      <c r="AQ8" s="1228">
        <v>5</v>
      </c>
      <c r="AR8" s="1040">
        <v>1288594</v>
      </c>
      <c r="AS8" s="1229">
        <v>387.4</v>
      </c>
      <c r="AT8" s="1108">
        <v>1854447</v>
      </c>
      <c r="AU8" s="1107">
        <v>14</v>
      </c>
      <c r="AV8" s="1040">
        <v>1</v>
      </c>
      <c r="AW8" s="1040">
        <v>1</v>
      </c>
      <c r="AX8" s="1228">
        <v>7</v>
      </c>
      <c r="AY8" s="1040">
        <v>3</v>
      </c>
      <c r="AZ8" s="1040">
        <v>1</v>
      </c>
      <c r="BA8" s="1040">
        <v>1</v>
      </c>
      <c r="BB8" s="1040" t="s">
        <v>143</v>
      </c>
      <c r="BC8" s="1040" t="s">
        <v>143</v>
      </c>
      <c r="BD8" s="1040" t="s">
        <v>143</v>
      </c>
      <c r="BE8" s="1108">
        <v>25</v>
      </c>
      <c r="BF8" s="1180"/>
      <c r="BG8" s="1039">
        <v>7</v>
      </c>
      <c r="BH8" s="1040">
        <v>27092</v>
      </c>
      <c r="BI8" s="1040">
        <v>1</v>
      </c>
      <c r="BJ8" s="1228">
        <v>34000</v>
      </c>
      <c r="BK8" s="1040">
        <v>3</v>
      </c>
      <c r="BL8" s="1040">
        <v>7</v>
      </c>
      <c r="BM8" s="1040">
        <v>97774</v>
      </c>
      <c r="BN8" s="1040">
        <v>6</v>
      </c>
      <c r="BO8" s="1040">
        <v>3619</v>
      </c>
      <c r="BP8" s="1040">
        <v>2</v>
      </c>
      <c r="BQ8" s="1108">
        <v>38</v>
      </c>
      <c r="BR8" s="1180"/>
      <c r="BS8" s="1230">
        <v>3</v>
      </c>
      <c r="BT8" s="1231">
        <v>1546</v>
      </c>
      <c r="BU8" s="1225"/>
      <c r="BV8" s="1039" t="s">
        <v>143</v>
      </c>
      <c r="BW8" s="1040" t="s">
        <v>143</v>
      </c>
      <c r="BX8" s="1040" t="s">
        <v>143</v>
      </c>
      <c r="BY8" s="1107">
        <v>81</v>
      </c>
      <c r="BZ8" s="1040">
        <v>3118</v>
      </c>
      <c r="CA8" s="1040">
        <v>2763</v>
      </c>
      <c r="CB8" s="1107">
        <v>14</v>
      </c>
      <c r="CC8" s="1040">
        <v>506</v>
      </c>
      <c r="CD8" s="1108">
        <v>443</v>
      </c>
      <c r="CE8" s="1180"/>
      <c r="CF8" s="1039">
        <v>406</v>
      </c>
      <c r="CG8" s="1040">
        <v>64</v>
      </c>
      <c r="CH8" s="1040">
        <v>17</v>
      </c>
      <c r="CI8" s="1040">
        <v>17</v>
      </c>
      <c r="CJ8" s="1040">
        <v>4</v>
      </c>
      <c r="CK8" s="1228" t="s">
        <v>143</v>
      </c>
      <c r="CL8" s="1228">
        <v>10</v>
      </c>
      <c r="CM8" s="1040">
        <v>103</v>
      </c>
      <c r="CN8" s="1228">
        <v>18129</v>
      </c>
      <c r="CO8" s="1228">
        <v>397</v>
      </c>
      <c r="CP8" s="1228">
        <v>77</v>
      </c>
      <c r="CQ8" s="1108">
        <v>130</v>
      </c>
      <c r="CR8" s="1180"/>
      <c r="CS8" s="1039">
        <v>547</v>
      </c>
      <c r="CT8" s="1228">
        <v>10</v>
      </c>
      <c r="CU8" s="1228">
        <v>5</v>
      </c>
      <c r="CV8" s="1228">
        <v>485</v>
      </c>
      <c r="CW8" s="1228">
        <v>21</v>
      </c>
      <c r="CX8" s="1232">
        <v>26</v>
      </c>
      <c r="CY8" s="1232" t="s">
        <v>143</v>
      </c>
      <c r="CZ8" s="1040">
        <v>1171753.9099999999</v>
      </c>
      <c r="DA8" s="1108">
        <v>13757.78</v>
      </c>
    </row>
    <row r="9" spans="1:105" s="1078" customFormat="1" ht="15.75" customHeight="1" x14ac:dyDescent="0.2">
      <c r="A9" s="1093" t="s">
        <v>145</v>
      </c>
      <c r="B9" s="1094" t="s">
        <v>143</v>
      </c>
      <c r="C9" s="1094" t="s">
        <v>143</v>
      </c>
      <c r="D9" s="1094" t="s">
        <v>143</v>
      </c>
      <c r="E9" s="1094">
        <v>12</v>
      </c>
      <c r="F9" s="1094">
        <v>12</v>
      </c>
      <c r="G9" s="1094">
        <v>556</v>
      </c>
      <c r="H9" s="1094">
        <v>556</v>
      </c>
      <c r="I9" s="1175">
        <v>124</v>
      </c>
      <c r="J9" s="1038">
        <v>43</v>
      </c>
      <c r="K9" s="1027">
        <v>12593</v>
      </c>
      <c r="L9" s="1219">
        <v>915</v>
      </c>
      <c r="M9" s="1027" t="s">
        <v>143</v>
      </c>
      <c r="N9" s="1027" t="s">
        <v>143</v>
      </c>
      <c r="O9" s="1027" t="s">
        <v>143</v>
      </c>
      <c r="P9" s="1219">
        <v>19</v>
      </c>
      <c r="Q9" s="1027">
        <v>6789</v>
      </c>
      <c r="R9" s="1027">
        <v>540</v>
      </c>
      <c r="S9" s="1027">
        <v>2</v>
      </c>
      <c r="T9" s="1027">
        <v>292</v>
      </c>
      <c r="U9" s="1117">
        <v>44</v>
      </c>
      <c r="V9" s="1094" t="s">
        <v>143</v>
      </c>
      <c r="W9" s="1219" t="s">
        <v>143</v>
      </c>
      <c r="X9" s="1219" t="s">
        <v>143</v>
      </c>
      <c r="Y9" s="1027" t="s">
        <v>143</v>
      </c>
      <c r="Z9" s="1219" t="s">
        <v>143</v>
      </c>
      <c r="AA9" s="1219" t="s">
        <v>143</v>
      </c>
      <c r="AB9" s="1027" t="s">
        <v>143</v>
      </c>
      <c r="AC9" s="1219" t="s">
        <v>143</v>
      </c>
      <c r="AD9" s="1219" t="s">
        <v>143</v>
      </c>
      <c r="AE9" s="1027">
        <v>12</v>
      </c>
      <c r="AF9" s="1027">
        <v>7781</v>
      </c>
      <c r="AG9" s="1117">
        <v>602</v>
      </c>
      <c r="AH9" s="1038" t="s">
        <v>143</v>
      </c>
      <c r="AI9" s="1027" t="s">
        <v>143</v>
      </c>
      <c r="AJ9" s="1027" t="s">
        <v>143</v>
      </c>
      <c r="AK9" s="1027">
        <v>5</v>
      </c>
      <c r="AL9" s="1027">
        <v>708</v>
      </c>
      <c r="AM9" s="1219">
        <v>72</v>
      </c>
      <c r="AN9" s="1027" t="s">
        <v>143</v>
      </c>
      <c r="AO9" s="1027">
        <v>1</v>
      </c>
      <c r="AP9" s="1219">
        <v>8</v>
      </c>
      <c r="AQ9" s="1219">
        <v>1</v>
      </c>
      <c r="AR9" s="1027">
        <v>1045419</v>
      </c>
      <c r="AS9" s="1222">
        <v>375</v>
      </c>
      <c r="AT9" s="1117">
        <v>1145580</v>
      </c>
      <c r="AU9" s="1094">
        <v>12</v>
      </c>
      <c r="AV9" s="1027">
        <v>1</v>
      </c>
      <c r="AW9" s="1027" t="s">
        <v>143</v>
      </c>
      <c r="AX9" s="1219">
        <v>6</v>
      </c>
      <c r="AY9" s="1027">
        <v>3</v>
      </c>
      <c r="AZ9" s="1027" t="s">
        <v>143</v>
      </c>
      <c r="BA9" s="1027" t="s">
        <v>143</v>
      </c>
      <c r="BB9" s="1027">
        <v>1</v>
      </c>
      <c r="BC9" s="1027" t="s">
        <v>143</v>
      </c>
      <c r="BD9" s="1027">
        <v>1</v>
      </c>
      <c r="BE9" s="1117">
        <v>42</v>
      </c>
      <c r="BF9" s="1180"/>
      <c r="BG9" s="1038">
        <f>3+1</f>
        <v>4</v>
      </c>
      <c r="BH9" s="1027">
        <f>22076+3333</f>
        <v>25409</v>
      </c>
      <c r="BI9" s="1027">
        <v>1</v>
      </c>
      <c r="BJ9" s="1219">
        <v>17000</v>
      </c>
      <c r="BK9" s="1027">
        <f>2+1</f>
        <v>3</v>
      </c>
      <c r="BL9" s="1027">
        <f>4+1</f>
        <v>5</v>
      </c>
      <c r="BM9" s="1027">
        <f>48560+11000</f>
        <v>59560</v>
      </c>
      <c r="BN9" s="1027">
        <f>1+3</f>
        <v>4</v>
      </c>
      <c r="BO9" s="1027">
        <f>603+1703</f>
        <v>2306</v>
      </c>
      <c r="BP9" s="1028">
        <f>2+1+1+1</f>
        <v>5</v>
      </c>
      <c r="BQ9" s="1030">
        <f>4+12+1+4+1</f>
        <v>22</v>
      </c>
      <c r="BR9" s="1180"/>
      <c r="BS9" s="1223">
        <v>4</v>
      </c>
      <c r="BT9" s="1224">
        <v>3020</v>
      </c>
      <c r="BU9" s="1225"/>
      <c r="BV9" s="1038">
        <v>48</v>
      </c>
      <c r="BW9" s="1027">
        <v>3101</v>
      </c>
      <c r="BX9" s="1027">
        <v>3182</v>
      </c>
      <c r="BY9" s="1094">
        <v>2</v>
      </c>
      <c r="BZ9" s="1027">
        <v>109</v>
      </c>
      <c r="CA9" s="1027">
        <v>79</v>
      </c>
      <c r="CB9" s="1094">
        <v>0</v>
      </c>
      <c r="CC9" s="1027" t="s">
        <v>143</v>
      </c>
      <c r="CD9" s="1117" t="s">
        <v>143</v>
      </c>
      <c r="CE9" s="1180"/>
      <c r="CF9" s="1038">
        <v>406</v>
      </c>
      <c r="CG9" s="1027">
        <v>61</v>
      </c>
      <c r="CH9" s="1027">
        <v>12</v>
      </c>
      <c r="CI9" s="1027">
        <v>12</v>
      </c>
      <c r="CJ9" s="1027">
        <v>3</v>
      </c>
      <c r="CK9" s="1219">
        <v>8</v>
      </c>
      <c r="CL9" s="1219" t="s">
        <v>143</v>
      </c>
      <c r="CM9" s="1027">
        <v>104</v>
      </c>
      <c r="CN9" s="1219">
        <v>10741</v>
      </c>
      <c r="CO9" s="1219">
        <v>230</v>
      </c>
      <c r="CP9" s="1219">
        <v>290</v>
      </c>
      <c r="CQ9" s="1117">
        <v>189</v>
      </c>
      <c r="CR9" s="1180"/>
      <c r="CS9" s="1038">
        <v>170</v>
      </c>
      <c r="CT9" s="1219">
        <v>25</v>
      </c>
      <c r="CU9" s="1219">
        <v>17</v>
      </c>
      <c r="CV9" s="1219">
        <v>67</v>
      </c>
      <c r="CW9" s="1219">
        <v>33</v>
      </c>
      <c r="CX9" s="1226">
        <v>28</v>
      </c>
      <c r="CY9" s="1226" t="s">
        <v>143</v>
      </c>
      <c r="CZ9" s="1027">
        <v>1195670</v>
      </c>
      <c r="DA9" s="1117">
        <v>53208</v>
      </c>
    </row>
    <row r="10" spans="1:105" s="1078" customFormat="1" ht="15.75" customHeight="1" x14ac:dyDescent="0.2">
      <c r="A10" s="1106" t="s">
        <v>147</v>
      </c>
      <c r="B10" s="1119" t="s">
        <v>143</v>
      </c>
      <c r="C10" s="1119" t="s">
        <v>143</v>
      </c>
      <c r="D10" s="1119" t="s">
        <v>143</v>
      </c>
      <c r="E10" s="1119">
        <v>13</v>
      </c>
      <c r="F10" s="1119">
        <v>11</v>
      </c>
      <c r="G10" s="1119">
        <v>728</v>
      </c>
      <c r="H10" s="1119">
        <v>456</v>
      </c>
      <c r="I10" s="1265">
        <v>88</v>
      </c>
      <c r="J10" s="1036">
        <v>42</v>
      </c>
      <c r="K10" s="1032">
        <v>10791</v>
      </c>
      <c r="L10" s="1033">
        <v>757</v>
      </c>
      <c r="M10" s="1032" t="s">
        <v>143</v>
      </c>
      <c r="N10" s="1032" t="s">
        <v>143</v>
      </c>
      <c r="O10" s="1032" t="s">
        <v>143</v>
      </c>
      <c r="P10" s="1033">
        <v>24</v>
      </c>
      <c r="Q10" s="1032">
        <v>5600</v>
      </c>
      <c r="R10" s="1032">
        <v>490</v>
      </c>
      <c r="S10" s="1032">
        <v>2</v>
      </c>
      <c r="T10" s="1032">
        <v>158</v>
      </c>
      <c r="U10" s="1034">
        <v>15</v>
      </c>
      <c r="V10" s="1119" t="s">
        <v>143</v>
      </c>
      <c r="W10" s="1033" t="s">
        <v>143</v>
      </c>
      <c r="X10" s="1033" t="s">
        <v>143</v>
      </c>
      <c r="Y10" s="1032" t="s">
        <v>143</v>
      </c>
      <c r="Z10" s="1033" t="s">
        <v>143</v>
      </c>
      <c r="AA10" s="1033" t="s">
        <v>143</v>
      </c>
      <c r="AB10" s="1032" t="s">
        <v>143</v>
      </c>
      <c r="AC10" s="1033" t="s">
        <v>143</v>
      </c>
      <c r="AD10" s="1033" t="s">
        <v>143</v>
      </c>
      <c r="AE10" s="1032">
        <v>13</v>
      </c>
      <c r="AF10" s="1032">
        <v>7279</v>
      </c>
      <c r="AG10" s="1034">
        <v>585</v>
      </c>
      <c r="AH10" s="1036" t="s">
        <v>143</v>
      </c>
      <c r="AI10" s="1032" t="s">
        <v>143</v>
      </c>
      <c r="AJ10" s="1032" t="s">
        <v>143</v>
      </c>
      <c r="AK10" s="1032">
        <v>3</v>
      </c>
      <c r="AL10" s="1032">
        <v>594</v>
      </c>
      <c r="AM10" s="1033">
        <v>57</v>
      </c>
      <c r="AN10" s="1032" t="s">
        <v>143</v>
      </c>
      <c r="AO10" s="1032" t="s">
        <v>143</v>
      </c>
      <c r="AP10" s="1033">
        <v>5</v>
      </c>
      <c r="AQ10" s="1033">
        <v>3</v>
      </c>
      <c r="AR10" s="1032">
        <v>518818</v>
      </c>
      <c r="AS10" s="1233">
        <v>229</v>
      </c>
      <c r="AT10" s="1034">
        <v>784158</v>
      </c>
      <c r="AU10" s="1119">
        <v>1</v>
      </c>
      <c r="AV10" s="1032" t="s">
        <v>143</v>
      </c>
      <c r="AW10" s="1032" t="s">
        <v>143</v>
      </c>
      <c r="AX10" s="1033">
        <v>1</v>
      </c>
      <c r="AY10" s="1032" t="s">
        <v>143</v>
      </c>
      <c r="AZ10" s="1032" t="s">
        <v>143</v>
      </c>
      <c r="BA10" s="1032" t="s">
        <v>143</v>
      </c>
      <c r="BB10" s="1032" t="s">
        <v>143</v>
      </c>
      <c r="BC10" s="1032" t="s">
        <v>143</v>
      </c>
      <c r="BD10" s="1032" t="s">
        <v>143</v>
      </c>
      <c r="BE10" s="1034">
        <v>28</v>
      </c>
      <c r="BF10" s="1180"/>
      <c r="BG10" s="1036">
        <v>4</v>
      </c>
      <c r="BH10" s="1032">
        <v>19505</v>
      </c>
      <c r="BI10" s="1032">
        <v>2</v>
      </c>
      <c r="BJ10" s="1033">
        <v>48576</v>
      </c>
      <c r="BK10" s="1032">
        <v>3</v>
      </c>
      <c r="BL10" s="1032">
        <v>3</v>
      </c>
      <c r="BM10" s="1032">
        <v>63326</v>
      </c>
      <c r="BN10" s="1032">
        <v>3</v>
      </c>
      <c r="BO10" s="1032">
        <v>3330</v>
      </c>
      <c r="BP10" s="1032">
        <v>3</v>
      </c>
      <c r="BQ10" s="1034">
        <v>19</v>
      </c>
      <c r="BR10" s="1180"/>
      <c r="BS10" s="1234">
        <v>1</v>
      </c>
      <c r="BT10" s="1235">
        <v>1624</v>
      </c>
      <c r="BU10" s="1225"/>
      <c r="BV10" s="1036" t="s">
        <v>143</v>
      </c>
      <c r="BW10" s="1032" t="s">
        <v>143</v>
      </c>
      <c r="BX10" s="1032" t="s">
        <v>143</v>
      </c>
      <c r="BY10" s="1119">
        <v>47</v>
      </c>
      <c r="BZ10" s="1032">
        <v>1905</v>
      </c>
      <c r="CA10" s="1032">
        <v>2021</v>
      </c>
      <c r="CB10" s="1119" t="s">
        <v>143</v>
      </c>
      <c r="CC10" s="1032" t="s">
        <v>143</v>
      </c>
      <c r="CD10" s="1034" t="s">
        <v>143</v>
      </c>
      <c r="CE10" s="1180"/>
      <c r="CF10" s="1036">
        <v>411</v>
      </c>
      <c r="CG10" s="1032">
        <v>67</v>
      </c>
      <c r="CH10" s="1032">
        <v>20</v>
      </c>
      <c r="CI10" s="1032">
        <v>7</v>
      </c>
      <c r="CJ10" s="1032">
        <v>5</v>
      </c>
      <c r="CK10" s="1033">
        <v>5</v>
      </c>
      <c r="CL10" s="1033">
        <v>8</v>
      </c>
      <c r="CM10" s="1032">
        <v>130</v>
      </c>
      <c r="CN10" s="1033">
        <v>12887</v>
      </c>
      <c r="CO10" s="1033">
        <v>76</v>
      </c>
      <c r="CP10" s="1033">
        <v>136</v>
      </c>
      <c r="CQ10" s="1034">
        <v>211</v>
      </c>
      <c r="CR10" s="1180"/>
      <c r="CS10" s="1036">
        <v>137</v>
      </c>
      <c r="CT10" s="1033">
        <v>23</v>
      </c>
      <c r="CU10" s="1033">
        <v>5</v>
      </c>
      <c r="CV10" s="1033">
        <v>48</v>
      </c>
      <c r="CW10" s="1033">
        <v>9</v>
      </c>
      <c r="CX10" s="1236">
        <v>28</v>
      </c>
      <c r="CY10" s="1236">
        <v>24</v>
      </c>
      <c r="CZ10" s="1032">
        <v>1000600</v>
      </c>
      <c r="DA10" s="1034">
        <v>18385</v>
      </c>
    </row>
    <row r="11" spans="1:105" s="1078" customFormat="1" ht="15.75" customHeight="1" x14ac:dyDescent="0.2">
      <c r="A11" s="1093" t="s">
        <v>148</v>
      </c>
      <c r="B11" s="1126">
        <v>3</v>
      </c>
      <c r="C11" s="1126">
        <v>55</v>
      </c>
      <c r="D11" s="1126">
        <v>6</v>
      </c>
      <c r="E11" s="1126">
        <v>13</v>
      </c>
      <c r="F11" s="1126">
        <v>7</v>
      </c>
      <c r="G11" s="1126">
        <v>1214</v>
      </c>
      <c r="H11" s="1126">
        <v>421</v>
      </c>
      <c r="I11" s="1089">
        <v>121</v>
      </c>
      <c r="J11" s="1037">
        <v>42</v>
      </c>
      <c r="K11" s="1028">
        <v>14007</v>
      </c>
      <c r="L11" s="1029">
        <v>928</v>
      </c>
      <c r="M11" s="1028">
        <v>2</v>
      </c>
      <c r="N11" s="1028">
        <v>627</v>
      </c>
      <c r="O11" s="1028">
        <v>34</v>
      </c>
      <c r="P11" s="1029">
        <v>23</v>
      </c>
      <c r="Q11" s="1028">
        <v>6933</v>
      </c>
      <c r="R11" s="1028">
        <v>581</v>
      </c>
      <c r="S11" s="1028">
        <v>4</v>
      </c>
      <c r="T11" s="1028">
        <v>678</v>
      </c>
      <c r="U11" s="1030">
        <v>55</v>
      </c>
      <c r="V11" s="1126" t="s">
        <v>143</v>
      </c>
      <c r="W11" s="1029" t="s">
        <v>143</v>
      </c>
      <c r="X11" s="1029" t="s">
        <v>143</v>
      </c>
      <c r="Y11" s="1028" t="s">
        <v>143</v>
      </c>
      <c r="Z11" s="1029" t="s">
        <v>143</v>
      </c>
      <c r="AA11" s="1029" t="s">
        <v>143</v>
      </c>
      <c r="AB11" s="1028">
        <v>1</v>
      </c>
      <c r="AC11" s="1029">
        <v>838</v>
      </c>
      <c r="AD11" s="1029">
        <v>64</v>
      </c>
      <c r="AE11" s="1028">
        <v>15</v>
      </c>
      <c r="AF11" s="1029">
        <v>9120</v>
      </c>
      <c r="AG11" s="1030">
        <v>771</v>
      </c>
      <c r="AH11" s="1037" t="s">
        <v>143</v>
      </c>
      <c r="AI11" s="1028" t="s">
        <v>143</v>
      </c>
      <c r="AJ11" s="1028" t="s">
        <v>143</v>
      </c>
      <c r="AK11" s="1126">
        <v>3</v>
      </c>
      <c r="AL11" s="1028">
        <v>618</v>
      </c>
      <c r="AM11" s="1029">
        <v>80</v>
      </c>
      <c r="AN11" s="1028" t="s">
        <v>143</v>
      </c>
      <c r="AO11" s="1028" t="s">
        <v>143</v>
      </c>
      <c r="AP11" s="1029">
        <v>6</v>
      </c>
      <c r="AQ11" s="1029">
        <v>3</v>
      </c>
      <c r="AR11" s="1028">
        <v>675729</v>
      </c>
      <c r="AS11" s="1237">
        <v>235.18</v>
      </c>
      <c r="AT11" s="1030">
        <v>602040</v>
      </c>
      <c r="AU11" s="1126">
        <v>4</v>
      </c>
      <c r="AV11" s="1028" t="s">
        <v>143</v>
      </c>
      <c r="AW11" s="1028">
        <v>1</v>
      </c>
      <c r="AX11" s="1029">
        <v>2</v>
      </c>
      <c r="AY11" s="1028" t="s">
        <v>143</v>
      </c>
      <c r="AZ11" s="1028" t="s">
        <v>143</v>
      </c>
      <c r="BA11" s="1028">
        <v>1</v>
      </c>
      <c r="BB11" s="1028" t="s">
        <v>143</v>
      </c>
      <c r="BC11" s="1028" t="s">
        <v>143</v>
      </c>
      <c r="BD11" s="1028" t="s">
        <v>143</v>
      </c>
      <c r="BE11" s="1030">
        <v>14</v>
      </c>
      <c r="BF11" s="1180"/>
      <c r="BG11" s="1037">
        <v>9</v>
      </c>
      <c r="BH11" s="1028">
        <v>31710</v>
      </c>
      <c r="BI11" s="1028">
        <v>1</v>
      </c>
      <c r="BJ11" s="1029">
        <v>22000</v>
      </c>
      <c r="BK11" s="1028">
        <v>5</v>
      </c>
      <c r="BL11" s="1028">
        <v>7</v>
      </c>
      <c r="BM11" s="1028">
        <v>100351</v>
      </c>
      <c r="BN11" s="1028">
        <v>3</v>
      </c>
      <c r="BO11" s="1028">
        <v>3319</v>
      </c>
      <c r="BP11" s="1028">
        <v>5</v>
      </c>
      <c r="BQ11" s="1030">
        <v>34</v>
      </c>
      <c r="BR11" s="1180"/>
      <c r="BS11" s="1238">
        <v>4</v>
      </c>
      <c r="BT11" s="1239">
        <f>1516+1056</f>
        <v>2572</v>
      </c>
      <c r="BU11" s="1225"/>
      <c r="BV11" s="1037" t="s">
        <v>143</v>
      </c>
      <c r="BW11" s="1028" t="s">
        <v>143</v>
      </c>
      <c r="BX11" s="1028" t="s">
        <v>143</v>
      </c>
      <c r="BY11" s="1126">
        <v>14</v>
      </c>
      <c r="BZ11" s="1028">
        <v>1139</v>
      </c>
      <c r="CA11" s="1028">
        <v>1114</v>
      </c>
      <c r="CB11" s="1126">
        <v>47</v>
      </c>
      <c r="CC11" s="1028">
        <v>1866</v>
      </c>
      <c r="CD11" s="1030">
        <v>1730</v>
      </c>
      <c r="CE11" s="1180"/>
      <c r="CF11" s="1037">
        <v>361</v>
      </c>
      <c r="CG11" s="1028">
        <v>46</v>
      </c>
      <c r="CH11" s="1028">
        <v>13</v>
      </c>
      <c r="CI11" s="1028">
        <v>13</v>
      </c>
      <c r="CJ11" s="1028">
        <v>3</v>
      </c>
      <c r="CK11" s="1029">
        <v>0</v>
      </c>
      <c r="CL11" s="1029">
        <v>10</v>
      </c>
      <c r="CM11" s="1028">
        <v>40</v>
      </c>
      <c r="CN11" s="1029">
        <v>11909</v>
      </c>
      <c r="CO11" s="1029">
        <v>134</v>
      </c>
      <c r="CP11" s="1029">
        <v>239</v>
      </c>
      <c r="CQ11" s="1030">
        <v>228</v>
      </c>
      <c r="CR11" s="1180"/>
      <c r="CS11" s="1037">
        <v>229</v>
      </c>
      <c r="CT11" s="1029">
        <v>29</v>
      </c>
      <c r="CU11" s="1029">
        <v>8</v>
      </c>
      <c r="CV11" s="1029">
        <v>43</v>
      </c>
      <c r="CW11" s="1029">
        <v>67</v>
      </c>
      <c r="CX11" s="1240">
        <v>82</v>
      </c>
      <c r="CY11" s="1240">
        <v>0</v>
      </c>
      <c r="CZ11" s="1028">
        <v>1035459.77</v>
      </c>
      <c r="DA11" s="1030">
        <v>33935.58</v>
      </c>
    </row>
    <row r="12" spans="1:105" s="1078" customFormat="1" ht="15.75" customHeight="1" x14ac:dyDescent="0.2">
      <c r="A12" s="1106" t="s">
        <v>149</v>
      </c>
      <c r="B12" s="1241">
        <v>0</v>
      </c>
      <c r="C12" s="1134">
        <v>0</v>
      </c>
      <c r="D12" s="1242">
        <v>0</v>
      </c>
      <c r="E12" s="1242">
        <v>17</v>
      </c>
      <c r="F12" s="1242">
        <v>8</v>
      </c>
      <c r="G12" s="1242">
        <v>1513</v>
      </c>
      <c r="H12" s="1242">
        <v>530</v>
      </c>
      <c r="I12" s="1243">
        <v>165</v>
      </c>
      <c r="J12" s="1039">
        <v>42</v>
      </c>
      <c r="K12" s="1040">
        <v>13491</v>
      </c>
      <c r="L12" s="1228">
        <v>892</v>
      </c>
      <c r="M12" s="1040">
        <v>1</v>
      </c>
      <c r="N12" s="1040">
        <v>555</v>
      </c>
      <c r="O12" s="1040">
        <v>38</v>
      </c>
      <c r="P12" s="1228">
        <v>24</v>
      </c>
      <c r="Q12" s="1040">
        <v>6752</v>
      </c>
      <c r="R12" s="1040">
        <v>562</v>
      </c>
      <c r="S12" s="1040">
        <v>2</v>
      </c>
      <c r="T12" s="1040">
        <v>671</v>
      </c>
      <c r="U12" s="1034">
        <v>47</v>
      </c>
      <c r="V12" s="1242" t="s">
        <v>143</v>
      </c>
      <c r="W12" s="1244" t="s">
        <v>143</v>
      </c>
      <c r="X12" s="1244" t="s">
        <v>143</v>
      </c>
      <c r="Y12" s="1134" t="s">
        <v>143</v>
      </c>
      <c r="Z12" s="1244" t="s">
        <v>143</v>
      </c>
      <c r="AA12" s="1244" t="s">
        <v>143</v>
      </c>
      <c r="AB12" s="1040">
        <v>2</v>
      </c>
      <c r="AC12" s="1228">
        <v>848</v>
      </c>
      <c r="AD12" s="1228">
        <v>88</v>
      </c>
      <c r="AE12" s="1040">
        <v>11</v>
      </c>
      <c r="AF12" s="1228">
        <v>6605</v>
      </c>
      <c r="AG12" s="1108">
        <v>598</v>
      </c>
      <c r="AH12" s="1133" t="s">
        <v>143</v>
      </c>
      <c r="AI12" s="1134" t="s">
        <v>143</v>
      </c>
      <c r="AJ12" s="1134" t="s">
        <v>143</v>
      </c>
      <c r="AK12" s="1107">
        <v>1</v>
      </c>
      <c r="AL12" s="1040">
        <v>811</v>
      </c>
      <c r="AM12" s="1033">
        <v>76</v>
      </c>
      <c r="AN12" s="1134" t="s">
        <v>143</v>
      </c>
      <c r="AO12" s="1134" t="s">
        <v>143</v>
      </c>
      <c r="AP12" s="1033">
        <v>5</v>
      </c>
      <c r="AQ12" s="1033">
        <v>5</v>
      </c>
      <c r="AR12" s="1032">
        <v>685634</v>
      </c>
      <c r="AS12" s="1233">
        <v>223.9</v>
      </c>
      <c r="AT12" s="1034">
        <v>759099</v>
      </c>
      <c r="AU12" s="1242">
        <v>17</v>
      </c>
      <c r="AV12" s="1134">
        <v>1</v>
      </c>
      <c r="AW12" s="1134">
        <v>2</v>
      </c>
      <c r="AX12" s="1244">
        <v>9</v>
      </c>
      <c r="AY12" s="1134">
        <v>3</v>
      </c>
      <c r="AZ12" s="1134" t="s">
        <v>143</v>
      </c>
      <c r="BA12" s="1134">
        <v>1</v>
      </c>
      <c r="BB12" s="1134">
        <v>1</v>
      </c>
      <c r="BC12" s="1134" t="s">
        <v>143</v>
      </c>
      <c r="BD12" s="1134" t="s">
        <v>143</v>
      </c>
      <c r="BE12" s="1245" t="s">
        <v>143</v>
      </c>
      <c r="BF12" s="1180"/>
      <c r="BG12" s="1036">
        <v>7</v>
      </c>
      <c r="BH12" s="1032">
        <v>24448.48</v>
      </c>
      <c r="BI12" s="1032">
        <v>1</v>
      </c>
      <c r="BJ12" s="1033">
        <v>29458</v>
      </c>
      <c r="BK12" s="1032">
        <v>8</v>
      </c>
      <c r="BL12" s="1032">
        <v>9</v>
      </c>
      <c r="BM12" s="1032">
        <v>224741.23</v>
      </c>
      <c r="BN12" s="1032" t="s">
        <v>143</v>
      </c>
      <c r="BO12" s="1032" t="s">
        <v>143</v>
      </c>
      <c r="BP12" s="1032">
        <v>10</v>
      </c>
      <c r="BQ12" s="1034">
        <v>35</v>
      </c>
      <c r="BR12" s="1180"/>
      <c r="BS12" s="1246">
        <v>1</v>
      </c>
      <c r="BT12" s="1247">
        <v>1188</v>
      </c>
      <c r="BU12" s="1248"/>
      <c r="BV12" s="1133">
        <v>0</v>
      </c>
      <c r="BW12" s="1134">
        <v>0</v>
      </c>
      <c r="BX12" s="1134">
        <v>0</v>
      </c>
      <c r="BY12" s="1134">
        <v>0</v>
      </c>
      <c r="BZ12" s="1134">
        <v>0</v>
      </c>
      <c r="CA12" s="1134">
        <v>0</v>
      </c>
      <c r="CB12" s="1134">
        <v>49</v>
      </c>
      <c r="CC12" s="1134">
        <v>2175</v>
      </c>
      <c r="CD12" s="1245">
        <v>1885</v>
      </c>
      <c r="CE12" s="1180"/>
      <c r="CF12" s="1036">
        <v>407</v>
      </c>
      <c r="CG12" s="1032">
        <v>70</v>
      </c>
      <c r="CH12" s="1032">
        <v>12</v>
      </c>
      <c r="CI12" s="1032">
        <v>12</v>
      </c>
      <c r="CJ12" s="1032">
        <v>4</v>
      </c>
      <c r="CK12" s="1033">
        <v>3</v>
      </c>
      <c r="CL12" s="1033">
        <v>7</v>
      </c>
      <c r="CM12" s="1032">
        <v>74</v>
      </c>
      <c r="CN12" s="1033">
        <v>12216</v>
      </c>
      <c r="CO12" s="1033">
        <v>112</v>
      </c>
      <c r="CP12" s="1033">
        <v>318</v>
      </c>
      <c r="CQ12" s="1034">
        <v>151</v>
      </c>
      <c r="CR12" s="1180"/>
      <c r="CS12" s="1036">
        <v>69</v>
      </c>
      <c r="CT12" s="1033">
        <v>11</v>
      </c>
      <c r="CU12" s="1033">
        <v>5</v>
      </c>
      <c r="CV12" s="1033">
        <v>6</v>
      </c>
      <c r="CW12" s="1033">
        <v>41</v>
      </c>
      <c r="CX12" s="1236">
        <v>6</v>
      </c>
      <c r="CY12" s="1236" t="s">
        <v>143</v>
      </c>
      <c r="CZ12" s="1032">
        <v>1083780</v>
      </c>
      <c r="DA12" s="1034">
        <v>21573</v>
      </c>
    </row>
    <row r="13" spans="1:105" s="1078" customFormat="1" ht="15.75" customHeight="1" x14ac:dyDescent="0.2">
      <c r="A13" s="1093" t="s">
        <v>150</v>
      </c>
      <c r="B13" s="1094" t="s">
        <v>143</v>
      </c>
      <c r="C13" s="1094" t="s">
        <v>143</v>
      </c>
      <c r="D13" s="1094" t="s">
        <v>143</v>
      </c>
      <c r="E13" s="1094">
        <v>18</v>
      </c>
      <c r="F13" s="1094">
        <v>11</v>
      </c>
      <c r="G13" s="1094">
        <v>1766</v>
      </c>
      <c r="H13" s="1094">
        <v>1153</v>
      </c>
      <c r="I13" s="1175">
        <v>278</v>
      </c>
      <c r="J13" s="1038">
        <v>36</v>
      </c>
      <c r="K13" s="1027">
        <v>11812</v>
      </c>
      <c r="L13" s="1219">
        <v>882</v>
      </c>
      <c r="M13" s="1027">
        <v>1</v>
      </c>
      <c r="N13" s="1027">
        <v>589</v>
      </c>
      <c r="O13" s="1027">
        <v>28</v>
      </c>
      <c r="P13" s="1219">
        <v>15</v>
      </c>
      <c r="Q13" s="1027">
        <v>6019</v>
      </c>
      <c r="R13" s="1027">
        <v>505</v>
      </c>
      <c r="S13" s="1027">
        <v>1</v>
      </c>
      <c r="T13" s="1027">
        <v>44</v>
      </c>
      <c r="U13" s="1117">
        <v>374</v>
      </c>
      <c r="V13" s="1094" t="s">
        <v>143</v>
      </c>
      <c r="W13" s="1219" t="s">
        <v>143</v>
      </c>
      <c r="X13" s="1219" t="s">
        <v>143</v>
      </c>
      <c r="Y13" s="1027" t="s">
        <v>143</v>
      </c>
      <c r="Z13" s="1219" t="s">
        <v>143</v>
      </c>
      <c r="AA13" s="1219" t="s">
        <v>143</v>
      </c>
      <c r="AB13" s="1027">
        <v>1</v>
      </c>
      <c r="AC13" s="1219">
        <v>841</v>
      </c>
      <c r="AD13" s="1219">
        <v>63</v>
      </c>
      <c r="AE13" s="1027">
        <v>12</v>
      </c>
      <c r="AF13" s="1027">
        <v>8854</v>
      </c>
      <c r="AG13" s="1117">
        <v>690</v>
      </c>
      <c r="AH13" s="1038" t="s">
        <v>143</v>
      </c>
      <c r="AI13" s="1027" t="s">
        <v>143</v>
      </c>
      <c r="AJ13" s="1027" t="s">
        <v>143</v>
      </c>
      <c r="AK13" s="1027">
        <v>1</v>
      </c>
      <c r="AL13" s="1027">
        <v>881</v>
      </c>
      <c r="AM13" s="1219">
        <v>103</v>
      </c>
      <c r="AN13" s="1027" t="s">
        <v>143</v>
      </c>
      <c r="AO13" s="1027" t="s">
        <v>143</v>
      </c>
      <c r="AP13" s="1219">
        <v>5</v>
      </c>
      <c r="AQ13" s="1219">
        <v>5</v>
      </c>
      <c r="AR13" s="1027">
        <v>408350</v>
      </c>
      <c r="AS13" s="1222">
        <v>160</v>
      </c>
      <c r="AT13" s="1117">
        <v>950011</v>
      </c>
      <c r="AU13" s="1094">
        <f>SUM(AV13:BD13)</f>
        <v>8</v>
      </c>
      <c r="AV13" s="1027">
        <v>1</v>
      </c>
      <c r="AW13" s="1027" t="s">
        <v>143</v>
      </c>
      <c r="AX13" s="1219">
        <v>5</v>
      </c>
      <c r="AY13" s="1027">
        <v>1</v>
      </c>
      <c r="AZ13" s="1027" t="s">
        <v>143</v>
      </c>
      <c r="BA13" s="1027" t="s">
        <v>143</v>
      </c>
      <c r="BB13" s="1027">
        <v>1</v>
      </c>
      <c r="BC13" s="1027" t="s">
        <v>143</v>
      </c>
      <c r="BD13" s="1027" t="s">
        <v>143</v>
      </c>
      <c r="BE13" s="1117">
        <v>8</v>
      </c>
      <c r="BF13" s="1180"/>
      <c r="BG13" s="1038">
        <v>7</v>
      </c>
      <c r="BH13" s="1027">
        <v>29400</v>
      </c>
      <c r="BI13" s="1027" t="s">
        <v>143</v>
      </c>
      <c r="BJ13" s="1219" t="s">
        <v>143</v>
      </c>
      <c r="BK13" s="1027">
        <v>2</v>
      </c>
      <c r="BL13" s="1027">
        <v>2</v>
      </c>
      <c r="BM13" s="1027">
        <v>34210</v>
      </c>
      <c r="BN13" s="1027">
        <f>4+1</f>
        <v>5</v>
      </c>
      <c r="BO13" s="1027">
        <f>3000+1817</f>
        <v>4817</v>
      </c>
      <c r="BP13" s="1027">
        <v>4</v>
      </c>
      <c r="BQ13" s="1117">
        <v>22</v>
      </c>
      <c r="BR13" s="1180"/>
      <c r="BS13" s="1223">
        <v>1</v>
      </c>
      <c r="BT13" s="1224">
        <v>1202</v>
      </c>
      <c r="BU13" s="1225"/>
      <c r="BV13" s="1038" t="s">
        <v>143</v>
      </c>
      <c r="BW13" s="1027" t="s">
        <v>143</v>
      </c>
      <c r="BX13" s="1027" t="s">
        <v>143</v>
      </c>
      <c r="BY13" s="1094">
        <v>72</v>
      </c>
      <c r="BZ13" s="1027">
        <v>3414</v>
      </c>
      <c r="CA13" s="1027">
        <v>3414</v>
      </c>
      <c r="CB13" s="1094" t="s">
        <v>143</v>
      </c>
      <c r="CC13" s="1027" t="s">
        <v>143</v>
      </c>
      <c r="CD13" s="1117" t="s">
        <v>143</v>
      </c>
      <c r="CE13" s="1180"/>
      <c r="CF13" s="1038">
        <v>261</v>
      </c>
      <c r="CG13" s="1027">
        <v>37</v>
      </c>
      <c r="CH13" s="1028">
        <v>10</v>
      </c>
      <c r="CI13" s="1027">
        <v>10</v>
      </c>
      <c r="CJ13" s="1027">
        <v>2</v>
      </c>
      <c r="CK13" s="1219" t="s">
        <v>143</v>
      </c>
      <c r="CL13" s="1219">
        <v>5</v>
      </c>
      <c r="CM13" s="1027">
        <v>47</v>
      </c>
      <c r="CN13" s="1219">
        <v>11213</v>
      </c>
      <c r="CO13" s="1219">
        <v>111</v>
      </c>
      <c r="CP13" s="1219">
        <v>352</v>
      </c>
      <c r="CQ13" s="1117">
        <v>93</v>
      </c>
      <c r="CR13" s="1180"/>
      <c r="CS13" s="1038">
        <f>SUM(CT13:CY13)</f>
        <v>69</v>
      </c>
      <c r="CT13" s="1219">
        <v>18</v>
      </c>
      <c r="CU13" s="1219">
        <v>4</v>
      </c>
      <c r="CV13" s="1219">
        <v>28</v>
      </c>
      <c r="CW13" s="1219">
        <v>6</v>
      </c>
      <c r="CX13" s="1226">
        <v>13</v>
      </c>
      <c r="CY13" s="1226" t="s">
        <v>143</v>
      </c>
      <c r="CZ13" s="1027">
        <v>850556</v>
      </c>
      <c r="DA13" s="1117">
        <v>7413</v>
      </c>
    </row>
    <row r="14" spans="1:105" s="1078" customFormat="1" ht="15.75" customHeight="1" x14ac:dyDescent="0.2">
      <c r="A14" s="1106" t="s">
        <v>151</v>
      </c>
      <c r="B14" s="1107">
        <v>10</v>
      </c>
      <c r="C14" s="1107">
        <v>329</v>
      </c>
      <c r="D14" s="1107">
        <v>75</v>
      </c>
      <c r="E14" s="1107">
        <v>14</v>
      </c>
      <c r="F14" s="1107">
        <v>1</v>
      </c>
      <c r="G14" s="1107">
        <v>1900</v>
      </c>
      <c r="H14" s="1107">
        <v>0</v>
      </c>
      <c r="I14" s="1227">
        <v>219</v>
      </c>
      <c r="J14" s="1039">
        <v>48</v>
      </c>
      <c r="K14" s="1040">
        <v>12226</v>
      </c>
      <c r="L14" s="1228">
        <v>899</v>
      </c>
      <c r="M14" s="1040">
        <v>2</v>
      </c>
      <c r="N14" s="1040">
        <v>777</v>
      </c>
      <c r="O14" s="1040">
        <v>60</v>
      </c>
      <c r="P14" s="1228">
        <v>20</v>
      </c>
      <c r="Q14" s="1040">
        <v>6633</v>
      </c>
      <c r="R14" s="1040">
        <v>529</v>
      </c>
      <c r="S14" s="1040">
        <v>3</v>
      </c>
      <c r="T14" s="1040">
        <v>526</v>
      </c>
      <c r="U14" s="1108">
        <v>59</v>
      </c>
      <c r="V14" s="1107" t="s">
        <v>143</v>
      </c>
      <c r="W14" s="1228" t="s">
        <v>143</v>
      </c>
      <c r="X14" s="1228" t="s">
        <v>143</v>
      </c>
      <c r="Y14" s="1040" t="s">
        <v>143</v>
      </c>
      <c r="Z14" s="1228" t="s">
        <v>143</v>
      </c>
      <c r="AA14" s="1228" t="s">
        <v>143</v>
      </c>
      <c r="AB14" s="1040" t="s">
        <v>143</v>
      </c>
      <c r="AC14" s="1228" t="s">
        <v>143</v>
      </c>
      <c r="AD14" s="1228" t="s">
        <v>143</v>
      </c>
      <c r="AE14" s="1040">
        <v>13</v>
      </c>
      <c r="AF14" s="1040">
        <v>8975</v>
      </c>
      <c r="AG14" s="1108">
        <v>886</v>
      </c>
      <c r="AH14" s="1039" t="s">
        <v>143</v>
      </c>
      <c r="AI14" s="1040" t="s">
        <v>143</v>
      </c>
      <c r="AJ14" s="1040" t="s">
        <v>143</v>
      </c>
      <c r="AK14" s="1040">
        <v>2</v>
      </c>
      <c r="AL14" s="1040">
        <v>92</v>
      </c>
      <c r="AM14" s="1033">
        <v>51</v>
      </c>
      <c r="AN14" s="1032" t="s">
        <v>143</v>
      </c>
      <c r="AO14" s="1032" t="s">
        <v>143</v>
      </c>
      <c r="AP14" s="1033">
        <v>6</v>
      </c>
      <c r="AQ14" s="1033">
        <v>3</v>
      </c>
      <c r="AR14" s="1032">
        <v>939824</v>
      </c>
      <c r="AS14" s="1233">
        <v>328.2</v>
      </c>
      <c r="AT14" s="1034">
        <v>941803</v>
      </c>
      <c r="AU14" s="524">
        <v>8</v>
      </c>
      <c r="AV14" s="438">
        <v>1</v>
      </c>
      <c r="AW14" s="438">
        <v>0</v>
      </c>
      <c r="AX14" s="467">
        <v>5</v>
      </c>
      <c r="AY14" s="438">
        <v>1</v>
      </c>
      <c r="AZ14" s="438">
        <v>1</v>
      </c>
      <c r="BA14" s="438">
        <v>0</v>
      </c>
      <c r="BB14" s="438">
        <v>0</v>
      </c>
      <c r="BC14" s="438">
        <v>0</v>
      </c>
      <c r="BD14" s="438">
        <v>0</v>
      </c>
      <c r="BE14" s="202">
        <v>23</v>
      </c>
      <c r="BF14" s="1180"/>
      <c r="BG14" s="1036">
        <v>6</v>
      </c>
      <c r="BH14" s="1032">
        <v>25215</v>
      </c>
      <c r="BI14" s="1032">
        <v>1</v>
      </c>
      <c r="BJ14" s="1033">
        <v>37774</v>
      </c>
      <c r="BK14" s="1032">
        <v>3</v>
      </c>
      <c r="BL14" s="1032">
        <v>3</v>
      </c>
      <c r="BM14" s="1032">
        <v>62360</v>
      </c>
      <c r="BN14" s="1032">
        <v>2</v>
      </c>
      <c r="BO14" s="1032">
        <v>4323.2</v>
      </c>
      <c r="BP14" s="1032">
        <v>3</v>
      </c>
      <c r="BQ14" s="1034">
        <v>26</v>
      </c>
      <c r="BR14" s="1180"/>
      <c r="BS14" s="1234">
        <v>1</v>
      </c>
      <c r="BT14" s="1235">
        <v>120</v>
      </c>
      <c r="BU14" s="1225"/>
      <c r="BV14" s="1036" t="s">
        <v>143</v>
      </c>
      <c r="BW14" s="1032" t="s">
        <v>143</v>
      </c>
      <c r="BX14" s="1032" t="s">
        <v>143</v>
      </c>
      <c r="BY14" s="1119" t="s">
        <v>143</v>
      </c>
      <c r="BZ14" s="1032" t="s">
        <v>143</v>
      </c>
      <c r="CA14" s="1032" t="s">
        <v>143</v>
      </c>
      <c r="CB14" s="1119">
        <v>84</v>
      </c>
      <c r="CC14" s="1032">
        <v>3022</v>
      </c>
      <c r="CD14" s="1034">
        <v>3006</v>
      </c>
      <c r="CE14" s="1180"/>
      <c r="CF14" s="1036">
        <v>279</v>
      </c>
      <c r="CG14" s="1032">
        <v>52</v>
      </c>
      <c r="CH14" s="1032">
        <v>13</v>
      </c>
      <c r="CI14" s="1032">
        <v>13</v>
      </c>
      <c r="CJ14" s="1032">
        <v>3</v>
      </c>
      <c r="CK14" s="1033">
        <v>2</v>
      </c>
      <c r="CL14" s="1033">
        <v>3</v>
      </c>
      <c r="CM14" s="1032">
        <v>88</v>
      </c>
      <c r="CN14" s="1033">
        <v>12936</v>
      </c>
      <c r="CO14" s="1033">
        <v>81</v>
      </c>
      <c r="CP14" s="1033">
        <v>158</v>
      </c>
      <c r="CQ14" s="1034">
        <v>173</v>
      </c>
      <c r="CR14" s="1180"/>
      <c r="CS14" s="1036">
        <v>83</v>
      </c>
      <c r="CT14" s="1033">
        <v>40</v>
      </c>
      <c r="CU14" s="1033">
        <v>1</v>
      </c>
      <c r="CV14" s="1033">
        <v>1</v>
      </c>
      <c r="CW14" s="1033">
        <v>13</v>
      </c>
      <c r="CX14" s="1236">
        <v>11</v>
      </c>
      <c r="CY14" s="1236">
        <v>17</v>
      </c>
      <c r="CZ14" s="1032">
        <v>977014</v>
      </c>
      <c r="DA14" s="1034">
        <v>4535</v>
      </c>
    </row>
    <row r="15" spans="1:105" s="1078" customFormat="1" ht="15.75" customHeight="1" x14ac:dyDescent="0.2">
      <c r="A15" s="1093" t="s">
        <v>153</v>
      </c>
      <c r="B15" s="1126" t="s">
        <v>143</v>
      </c>
      <c r="C15" s="1126" t="s">
        <v>143</v>
      </c>
      <c r="D15" s="1126" t="s">
        <v>143</v>
      </c>
      <c r="E15" s="1126">
        <v>31</v>
      </c>
      <c r="F15" s="1126">
        <v>31</v>
      </c>
      <c r="G15" s="1126">
        <v>4926</v>
      </c>
      <c r="H15" s="1126" t="s">
        <v>143</v>
      </c>
      <c r="I15" s="1089">
        <v>454</v>
      </c>
      <c r="J15" s="1037">
        <v>51</v>
      </c>
      <c r="K15" s="1028">
        <v>15746</v>
      </c>
      <c r="L15" s="1029">
        <v>1132</v>
      </c>
      <c r="M15" s="1028">
        <v>1</v>
      </c>
      <c r="N15" s="1028">
        <v>265</v>
      </c>
      <c r="O15" s="1028">
        <v>25</v>
      </c>
      <c r="P15" s="1029">
        <v>25</v>
      </c>
      <c r="Q15" s="1028">
        <v>8288</v>
      </c>
      <c r="R15" s="1028">
        <v>657</v>
      </c>
      <c r="S15" s="1028">
        <v>1</v>
      </c>
      <c r="T15" s="1028">
        <v>169</v>
      </c>
      <c r="U15" s="1030">
        <v>15</v>
      </c>
      <c r="V15" s="1126">
        <v>2</v>
      </c>
      <c r="W15" s="1029">
        <v>427</v>
      </c>
      <c r="X15" s="1029">
        <v>57</v>
      </c>
      <c r="Y15" s="1028" t="s">
        <v>143</v>
      </c>
      <c r="Z15" s="1029" t="s">
        <v>143</v>
      </c>
      <c r="AA15" s="1029" t="s">
        <v>143</v>
      </c>
      <c r="AB15" s="1028" t="s">
        <v>143</v>
      </c>
      <c r="AC15" s="1029" t="s">
        <v>143</v>
      </c>
      <c r="AD15" s="1029" t="s">
        <v>143</v>
      </c>
      <c r="AE15" s="1028">
        <v>13</v>
      </c>
      <c r="AF15" s="1029">
        <v>9876</v>
      </c>
      <c r="AG15" s="1030">
        <v>753</v>
      </c>
      <c r="AH15" s="1037" t="s">
        <v>143</v>
      </c>
      <c r="AI15" s="1028" t="s">
        <v>143</v>
      </c>
      <c r="AJ15" s="1028" t="s">
        <v>143</v>
      </c>
      <c r="AK15" s="1126">
        <v>1</v>
      </c>
      <c r="AL15" s="1028">
        <v>368</v>
      </c>
      <c r="AM15" s="1029">
        <v>35</v>
      </c>
      <c r="AN15" s="1028" t="s">
        <v>143</v>
      </c>
      <c r="AO15" s="1028" t="s">
        <v>143</v>
      </c>
      <c r="AP15" s="1029">
        <v>4</v>
      </c>
      <c r="AQ15" s="1029">
        <v>4</v>
      </c>
      <c r="AR15" s="1028">
        <v>901147</v>
      </c>
      <c r="AS15" s="1237">
        <v>279.89999999999998</v>
      </c>
      <c r="AT15" s="1030">
        <v>976452</v>
      </c>
      <c r="AU15" s="1126">
        <v>1</v>
      </c>
      <c r="AV15" s="1028" t="s">
        <v>143</v>
      </c>
      <c r="AW15" s="1028" t="s">
        <v>143</v>
      </c>
      <c r="AX15" s="1029" t="s">
        <v>143</v>
      </c>
      <c r="AY15" s="1028">
        <v>1</v>
      </c>
      <c r="AZ15" s="1028" t="s">
        <v>143</v>
      </c>
      <c r="BA15" s="1028" t="s">
        <v>143</v>
      </c>
      <c r="BB15" s="1028" t="s">
        <v>143</v>
      </c>
      <c r="BC15" s="1028" t="s">
        <v>143</v>
      </c>
      <c r="BD15" s="1028" t="s">
        <v>143</v>
      </c>
      <c r="BE15" s="1030">
        <v>92</v>
      </c>
      <c r="BF15" s="1180"/>
      <c r="BG15" s="1037">
        <v>6</v>
      </c>
      <c r="BH15" s="1028">
        <v>27002</v>
      </c>
      <c r="BI15" s="1028">
        <v>2</v>
      </c>
      <c r="BJ15" s="1029">
        <v>36000</v>
      </c>
      <c r="BK15" s="1028">
        <v>3</v>
      </c>
      <c r="BL15" s="1028">
        <v>3</v>
      </c>
      <c r="BM15" s="1028">
        <v>54027</v>
      </c>
      <c r="BN15" s="1028">
        <v>3</v>
      </c>
      <c r="BO15" s="1028">
        <v>8947</v>
      </c>
      <c r="BP15" s="1028">
        <v>2</v>
      </c>
      <c r="BQ15" s="1030">
        <v>20</v>
      </c>
      <c r="BR15" s="1180"/>
      <c r="BS15" s="1238">
        <v>1</v>
      </c>
      <c r="BT15" s="1239">
        <v>2004</v>
      </c>
      <c r="BU15" s="1225"/>
      <c r="BV15" s="1037">
        <v>40</v>
      </c>
      <c r="BW15" s="1028">
        <v>2780</v>
      </c>
      <c r="BX15" s="1028">
        <v>2847</v>
      </c>
      <c r="BY15" s="1126" t="s">
        <v>143</v>
      </c>
      <c r="BZ15" s="1028" t="s">
        <v>143</v>
      </c>
      <c r="CA15" s="1028" t="s">
        <v>143</v>
      </c>
      <c r="CB15" s="1126" t="s">
        <v>143</v>
      </c>
      <c r="CC15" s="1028" t="s">
        <v>143</v>
      </c>
      <c r="CD15" s="1030" t="s">
        <v>143</v>
      </c>
      <c r="CE15" s="1180"/>
      <c r="CF15" s="1037">
        <v>299</v>
      </c>
      <c r="CG15" s="1028">
        <v>46</v>
      </c>
      <c r="CH15" s="1028">
        <v>12</v>
      </c>
      <c r="CI15" s="1028">
        <v>11</v>
      </c>
      <c r="CJ15" s="1028">
        <v>1</v>
      </c>
      <c r="CK15" s="1029">
        <v>9</v>
      </c>
      <c r="CL15" s="1029">
        <v>1</v>
      </c>
      <c r="CM15" s="1028">
        <v>81</v>
      </c>
      <c r="CN15" s="1029">
        <v>14548</v>
      </c>
      <c r="CO15" s="1029">
        <v>86</v>
      </c>
      <c r="CP15" s="1029">
        <v>297</v>
      </c>
      <c r="CQ15" s="1030">
        <v>249</v>
      </c>
      <c r="CR15" s="1180"/>
      <c r="CS15" s="1037">
        <v>66</v>
      </c>
      <c r="CT15" s="1029">
        <v>17</v>
      </c>
      <c r="CU15" s="1029">
        <v>2</v>
      </c>
      <c r="CV15" s="1029">
        <v>9</v>
      </c>
      <c r="CW15" s="1029">
        <v>11</v>
      </c>
      <c r="CX15" s="1240">
        <v>27</v>
      </c>
      <c r="CY15" s="1240" t="s">
        <v>143</v>
      </c>
      <c r="CZ15" s="1028">
        <v>1180701</v>
      </c>
      <c r="DA15" s="1030">
        <v>27258</v>
      </c>
    </row>
    <row r="16" spans="1:105" s="1078" customFormat="1" ht="15.75" customHeight="1" x14ac:dyDescent="0.2">
      <c r="A16" s="1106" t="s">
        <v>154</v>
      </c>
      <c r="B16" s="1107">
        <v>14</v>
      </c>
      <c r="C16" s="1107">
        <v>528</v>
      </c>
      <c r="D16" s="1107">
        <v>60</v>
      </c>
      <c r="E16" s="1107">
        <v>22</v>
      </c>
      <c r="F16" s="1107">
        <v>10</v>
      </c>
      <c r="G16" s="1107">
        <v>2154</v>
      </c>
      <c r="H16" s="1107">
        <v>1936</v>
      </c>
      <c r="I16" s="1227">
        <v>210</v>
      </c>
      <c r="J16" s="1039">
        <v>65</v>
      </c>
      <c r="K16" s="1040">
        <v>15829</v>
      </c>
      <c r="L16" s="1228">
        <v>914</v>
      </c>
      <c r="M16" s="1040">
        <v>1</v>
      </c>
      <c r="N16" s="1040">
        <v>40</v>
      </c>
      <c r="O16" s="1040">
        <v>7</v>
      </c>
      <c r="P16" s="1228">
        <v>39</v>
      </c>
      <c r="Q16" s="1040">
        <v>8543</v>
      </c>
      <c r="R16" s="1040">
        <v>626</v>
      </c>
      <c r="S16" s="1040">
        <v>3</v>
      </c>
      <c r="T16" s="1040">
        <v>195</v>
      </c>
      <c r="U16" s="1108">
        <v>54</v>
      </c>
      <c r="V16" s="1107" t="s">
        <v>143</v>
      </c>
      <c r="W16" s="1228" t="s">
        <v>143</v>
      </c>
      <c r="X16" s="1228" t="s">
        <v>143</v>
      </c>
      <c r="Y16" s="1040" t="s">
        <v>143</v>
      </c>
      <c r="Z16" s="1228" t="s">
        <v>143</v>
      </c>
      <c r="AA16" s="1228" t="s">
        <v>143</v>
      </c>
      <c r="AB16" s="1040" t="s">
        <v>143</v>
      </c>
      <c r="AC16" s="1228" t="s">
        <v>143</v>
      </c>
      <c r="AD16" s="1228" t="s">
        <v>143</v>
      </c>
      <c r="AE16" s="1040">
        <v>19</v>
      </c>
      <c r="AF16" s="1228">
        <v>7932</v>
      </c>
      <c r="AG16" s="1108">
        <v>1109</v>
      </c>
      <c r="AH16" s="1039" t="s">
        <v>143</v>
      </c>
      <c r="AI16" s="1040" t="s">
        <v>143</v>
      </c>
      <c r="AJ16" s="1040" t="s">
        <v>143</v>
      </c>
      <c r="AK16" s="1107">
        <v>1</v>
      </c>
      <c r="AL16" s="1040">
        <v>161</v>
      </c>
      <c r="AM16" s="1033">
        <v>44</v>
      </c>
      <c r="AN16" s="1032" t="s">
        <v>143</v>
      </c>
      <c r="AO16" s="1032" t="s">
        <v>143</v>
      </c>
      <c r="AP16" s="1033">
        <v>4</v>
      </c>
      <c r="AQ16" s="1033">
        <v>6</v>
      </c>
      <c r="AR16" s="1032">
        <v>807271</v>
      </c>
      <c r="AS16" s="1233">
        <v>252.6</v>
      </c>
      <c r="AT16" s="1034">
        <v>1422869</v>
      </c>
      <c r="AU16" s="1119">
        <v>2</v>
      </c>
      <c r="AV16" s="1032" t="s">
        <v>143</v>
      </c>
      <c r="AW16" s="1032" t="s">
        <v>143</v>
      </c>
      <c r="AX16" s="1033" t="s">
        <v>143</v>
      </c>
      <c r="AY16" s="1032">
        <v>1</v>
      </c>
      <c r="AZ16" s="1032" t="s">
        <v>143</v>
      </c>
      <c r="BA16" s="1032" t="s">
        <v>143</v>
      </c>
      <c r="BB16" s="1032" t="s">
        <v>143</v>
      </c>
      <c r="BC16" s="1032" t="s">
        <v>143</v>
      </c>
      <c r="BD16" s="1032">
        <v>1</v>
      </c>
      <c r="BE16" s="1034">
        <v>37</v>
      </c>
      <c r="BF16" s="1180"/>
      <c r="BG16" s="1036">
        <v>7</v>
      </c>
      <c r="BH16" s="1032">
        <v>21610</v>
      </c>
      <c r="BI16" s="1032">
        <v>2</v>
      </c>
      <c r="BJ16" s="1033">
        <v>40701</v>
      </c>
      <c r="BK16" s="1032">
        <v>3</v>
      </c>
      <c r="BL16" s="1032">
        <v>3</v>
      </c>
      <c r="BM16" s="1032">
        <v>124825</v>
      </c>
      <c r="BN16" s="1032">
        <v>2</v>
      </c>
      <c r="BO16" s="1032">
        <v>2400</v>
      </c>
      <c r="BP16" s="1032">
        <v>3</v>
      </c>
      <c r="BQ16" s="1034">
        <v>24</v>
      </c>
      <c r="BR16" s="1180"/>
      <c r="BS16" s="1234">
        <v>5</v>
      </c>
      <c r="BT16" s="1235">
        <v>4309</v>
      </c>
      <c r="BU16" s="1225"/>
      <c r="BV16" s="1036" t="s">
        <v>143</v>
      </c>
      <c r="BW16" s="1032" t="s">
        <v>143</v>
      </c>
      <c r="BX16" s="1032" t="s">
        <v>143</v>
      </c>
      <c r="BY16" s="1119">
        <v>72</v>
      </c>
      <c r="BZ16" s="1032">
        <v>3251</v>
      </c>
      <c r="CA16" s="1032">
        <v>3011</v>
      </c>
      <c r="CB16" s="1119">
        <v>1</v>
      </c>
      <c r="CC16" s="1032">
        <v>10</v>
      </c>
      <c r="CD16" s="1034">
        <v>10</v>
      </c>
      <c r="CE16" s="1180"/>
      <c r="CF16" s="1036">
        <v>361</v>
      </c>
      <c r="CG16" s="1032">
        <v>80</v>
      </c>
      <c r="CH16" s="1032">
        <v>15</v>
      </c>
      <c r="CI16" s="1032">
        <v>15</v>
      </c>
      <c r="CJ16" s="1032">
        <v>5</v>
      </c>
      <c r="CK16" s="1033">
        <v>1</v>
      </c>
      <c r="CL16" s="1033">
        <v>7</v>
      </c>
      <c r="CM16" s="1032">
        <v>79</v>
      </c>
      <c r="CN16" s="1033">
        <v>14169</v>
      </c>
      <c r="CO16" s="1033">
        <v>194</v>
      </c>
      <c r="CP16" s="1033">
        <v>286</v>
      </c>
      <c r="CQ16" s="1034">
        <v>207</v>
      </c>
      <c r="CR16" s="1180"/>
      <c r="CS16" s="1036">
        <v>311</v>
      </c>
      <c r="CT16" s="1033">
        <v>42</v>
      </c>
      <c r="CU16" s="1033">
        <v>9</v>
      </c>
      <c r="CV16" s="1033">
        <v>179</v>
      </c>
      <c r="CW16" s="1033">
        <v>62</v>
      </c>
      <c r="CX16" s="1236">
        <v>19</v>
      </c>
      <c r="CY16" s="1236" t="s">
        <v>143</v>
      </c>
      <c r="CZ16" s="1032">
        <v>1487515</v>
      </c>
      <c r="DA16" s="1034">
        <v>46844</v>
      </c>
    </row>
    <row r="17" spans="1:105" s="1078" customFormat="1" ht="15.75" customHeight="1" x14ac:dyDescent="0.2">
      <c r="A17" s="1093" t="s">
        <v>155</v>
      </c>
      <c r="B17" s="1126">
        <v>16</v>
      </c>
      <c r="C17" s="1126">
        <v>367</v>
      </c>
      <c r="D17" s="1126">
        <v>47</v>
      </c>
      <c r="E17" s="1126">
        <v>14</v>
      </c>
      <c r="F17" s="1126">
        <v>14</v>
      </c>
      <c r="G17" s="1126">
        <v>2331</v>
      </c>
      <c r="H17" s="1126">
        <v>2080</v>
      </c>
      <c r="I17" s="1089">
        <v>175</v>
      </c>
      <c r="J17" s="1037">
        <v>32</v>
      </c>
      <c r="K17" s="1028">
        <v>12980</v>
      </c>
      <c r="L17" s="1029">
        <v>861</v>
      </c>
      <c r="M17" s="1028">
        <v>3</v>
      </c>
      <c r="N17" s="1028">
        <v>1157</v>
      </c>
      <c r="O17" s="1028">
        <v>83</v>
      </c>
      <c r="P17" s="1029">
        <v>15</v>
      </c>
      <c r="Q17" s="1028">
        <v>6402</v>
      </c>
      <c r="R17" s="1028">
        <v>513</v>
      </c>
      <c r="S17" s="1028">
        <v>4</v>
      </c>
      <c r="T17" s="1028">
        <v>1926</v>
      </c>
      <c r="U17" s="1030">
        <v>113</v>
      </c>
      <c r="V17" s="1126">
        <v>1</v>
      </c>
      <c r="W17" s="1029">
        <v>144</v>
      </c>
      <c r="X17" s="1029">
        <v>27</v>
      </c>
      <c r="Y17" s="1028" t="s">
        <v>143</v>
      </c>
      <c r="Z17" s="1029" t="s">
        <v>143</v>
      </c>
      <c r="AA17" s="1029" t="s">
        <v>143</v>
      </c>
      <c r="AB17" s="1028" t="s">
        <v>143</v>
      </c>
      <c r="AC17" s="1029" t="s">
        <v>143</v>
      </c>
      <c r="AD17" s="1029" t="s">
        <v>143</v>
      </c>
      <c r="AE17" s="1028">
        <v>14</v>
      </c>
      <c r="AF17" s="1029">
        <v>12285</v>
      </c>
      <c r="AG17" s="1030">
        <v>998</v>
      </c>
      <c r="AH17" s="1037" t="s">
        <v>143</v>
      </c>
      <c r="AI17" s="1028" t="s">
        <v>143</v>
      </c>
      <c r="AJ17" s="1028" t="s">
        <v>143</v>
      </c>
      <c r="AK17" s="1126">
        <v>3</v>
      </c>
      <c r="AL17" s="1028">
        <v>1416</v>
      </c>
      <c r="AM17" s="1029">
        <v>96</v>
      </c>
      <c r="AN17" s="1028" t="s">
        <v>143</v>
      </c>
      <c r="AO17" s="1028" t="s">
        <v>143</v>
      </c>
      <c r="AP17" s="1029">
        <v>6</v>
      </c>
      <c r="AQ17" s="1029">
        <v>6</v>
      </c>
      <c r="AR17" s="1028">
        <v>986491</v>
      </c>
      <c r="AS17" s="1237">
        <v>365.9</v>
      </c>
      <c r="AT17" s="1030">
        <v>1269711</v>
      </c>
      <c r="AU17" s="1126">
        <f>SUM(AV17:BD17)</f>
        <v>16</v>
      </c>
      <c r="AV17" s="1028">
        <v>1</v>
      </c>
      <c r="AW17" s="1028">
        <v>1</v>
      </c>
      <c r="AX17" s="1029">
        <v>10</v>
      </c>
      <c r="AY17" s="1028">
        <v>3</v>
      </c>
      <c r="AZ17" s="1028" t="s">
        <v>143</v>
      </c>
      <c r="BA17" s="1028" t="s">
        <v>143</v>
      </c>
      <c r="BB17" s="1028">
        <v>1</v>
      </c>
      <c r="BC17" s="1028" t="s">
        <v>143</v>
      </c>
      <c r="BD17" s="1028" t="s">
        <v>143</v>
      </c>
      <c r="BE17" s="1030" t="s">
        <v>143</v>
      </c>
      <c r="BF17" s="1180"/>
      <c r="BG17" s="1037">
        <v>6</v>
      </c>
      <c r="BH17" s="1028">
        <v>36735</v>
      </c>
      <c r="BI17" s="1028">
        <v>2</v>
      </c>
      <c r="BJ17" s="1029">
        <v>78810</v>
      </c>
      <c r="BK17" s="1028">
        <v>6</v>
      </c>
      <c r="BL17" s="1028">
        <v>15</v>
      </c>
      <c r="BM17" s="1028">
        <v>229675</v>
      </c>
      <c r="BN17" s="1028">
        <v>3</v>
      </c>
      <c r="BO17" s="1028">
        <v>1234</v>
      </c>
      <c r="BP17" s="1028">
        <v>7</v>
      </c>
      <c r="BQ17" s="1030">
        <v>32</v>
      </c>
      <c r="BR17" s="1180"/>
      <c r="BS17" s="1238">
        <v>1</v>
      </c>
      <c r="BT17" s="1249" t="s">
        <v>143</v>
      </c>
      <c r="BU17" s="1225"/>
      <c r="BV17" s="1037">
        <v>38</v>
      </c>
      <c r="BW17" s="1028">
        <v>1510</v>
      </c>
      <c r="BX17" s="1028">
        <v>1972</v>
      </c>
      <c r="BY17" s="1126">
        <v>36</v>
      </c>
      <c r="BZ17" s="1028">
        <v>1430</v>
      </c>
      <c r="CA17" s="1028">
        <v>1952</v>
      </c>
      <c r="CB17" s="1126">
        <v>20</v>
      </c>
      <c r="CC17" s="1028">
        <v>1013</v>
      </c>
      <c r="CD17" s="1030">
        <v>977</v>
      </c>
      <c r="CE17" s="1180"/>
      <c r="CF17" s="1037">
        <v>347</v>
      </c>
      <c r="CG17" s="1028">
        <v>41</v>
      </c>
      <c r="CH17" s="1028">
        <v>12</v>
      </c>
      <c r="CI17" s="1028">
        <v>12</v>
      </c>
      <c r="CJ17" s="1028">
        <v>2</v>
      </c>
      <c r="CK17" s="1029" t="s">
        <v>143</v>
      </c>
      <c r="CL17" s="1029">
        <v>9</v>
      </c>
      <c r="CM17" s="1028">
        <v>116</v>
      </c>
      <c r="CN17" s="1029">
        <v>15843</v>
      </c>
      <c r="CO17" s="1029">
        <v>202</v>
      </c>
      <c r="CP17" s="1029">
        <v>12</v>
      </c>
      <c r="CQ17" s="1030">
        <v>82</v>
      </c>
      <c r="CR17" s="1180"/>
      <c r="CS17" s="1037">
        <v>512</v>
      </c>
      <c r="CT17" s="1029">
        <v>27</v>
      </c>
      <c r="CU17" s="1029" t="s">
        <v>143</v>
      </c>
      <c r="CV17" s="1029">
        <v>456</v>
      </c>
      <c r="CW17" s="1029">
        <v>7</v>
      </c>
      <c r="CX17" s="1240">
        <v>22</v>
      </c>
      <c r="CY17" s="1240" t="s">
        <v>143</v>
      </c>
      <c r="CZ17" s="1028">
        <v>924228.26</v>
      </c>
      <c r="DA17" s="1030">
        <v>3870.95</v>
      </c>
    </row>
    <row r="18" spans="1:105" s="1078" customFormat="1" ht="15.75" customHeight="1" x14ac:dyDescent="0.2">
      <c r="A18" s="1106" t="s">
        <v>157</v>
      </c>
      <c r="B18" s="1107" t="s">
        <v>143</v>
      </c>
      <c r="C18" s="1107" t="s">
        <v>143</v>
      </c>
      <c r="D18" s="1107" t="s">
        <v>143</v>
      </c>
      <c r="E18" s="1107">
        <v>27</v>
      </c>
      <c r="F18" s="1107">
        <v>6</v>
      </c>
      <c r="G18" s="1107">
        <v>6690</v>
      </c>
      <c r="H18" s="1107">
        <v>580</v>
      </c>
      <c r="I18" s="1227">
        <v>480</v>
      </c>
      <c r="J18" s="1039">
        <v>68</v>
      </c>
      <c r="K18" s="1040">
        <v>26964</v>
      </c>
      <c r="L18" s="1228">
        <v>1715</v>
      </c>
      <c r="M18" s="1040">
        <v>2</v>
      </c>
      <c r="N18" s="1040">
        <v>1006</v>
      </c>
      <c r="O18" s="1040">
        <v>55</v>
      </c>
      <c r="P18" s="1228">
        <v>25</v>
      </c>
      <c r="Q18" s="1040">
        <v>13127</v>
      </c>
      <c r="R18" s="1040">
        <v>944</v>
      </c>
      <c r="S18" s="1040">
        <v>6</v>
      </c>
      <c r="T18" s="1040">
        <v>1579</v>
      </c>
      <c r="U18" s="1108">
        <v>96</v>
      </c>
      <c r="V18" s="1107" t="s">
        <v>143</v>
      </c>
      <c r="W18" s="1228" t="s">
        <v>143</v>
      </c>
      <c r="X18" s="1228" t="s">
        <v>143</v>
      </c>
      <c r="Y18" s="1040" t="s">
        <v>143</v>
      </c>
      <c r="Z18" s="1228" t="s">
        <v>143</v>
      </c>
      <c r="AA18" s="1228" t="s">
        <v>143</v>
      </c>
      <c r="AB18" s="1040" t="s">
        <v>143</v>
      </c>
      <c r="AC18" s="1228" t="s">
        <v>143</v>
      </c>
      <c r="AD18" s="1228" t="s">
        <v>143</v>
      </c>
      <c r="AE18" s="1040">
        <v>15</v>
      </c>
      <c r="AF18" s="1228">
        <v>16277</v>
      </c>
      <c r="AG18" s="1108">
        <v>1129</v>
      </c>
      <c r="AH18" s="1039" t="s">
        <v>143</v>
      </c>
      <c r="AI18" s="1040" t="s">
        <v>143</v>
      </c>
      <c r="AJ18" s="1040" t="s">
        <v>143</v>
      </c>
      <c r="AK18" s="1107">
        <v>2</v>
      </c>
      <c r="AL18" s="1040">
        <v>208</v>
      </c>
      <c r="AM18" s="1033">
        <v>10</v>
      </c>
      <c r="AN18" s="1032" t="s">
        <v>143</v>
      </c>
      <c r="AO18" s="1032" t="s">
        <v>143</v>
      </c>
      <c r="AP18" s="1033">
        <v>8</v>
      </c>
      <c r="AQ18" s="1033">
        <v>5</v>
      </c>
      <c r="AR18" s="1032">
        <v>1755343</v>
      </c>
      <c r="AS18" s="1233">
        <v>337.3</v>
      </c>
      <c r="AT18" s="1034">
        <v>3837970</v>
      </c>
      <c r="AU18" s="1119">
        <v>16</v>
      </c>
      <c r="AV18" s="1032">
        <v>1</v>
      </c>
      <c r="AW18" s="1032">
        <v>1</v>
      </c>
      <c r="AX18" s="1033">
        <v>8</v>
      </c>
      <c r="AY18" s="1032">
        <v>4</v>
      </c>
      <c r="AZ18" s="1032" t="s">
        <v>143</v>
      </c>
      <c r="BA18" s="1032">
        <v>1</v>
      </c>
      <c r="BB18" s="1032">
        <v>1</v>
      </c>
      <c r="BC18" s="1032" t="s">
        <v>143</v>
      </c>
      <c r="BD18" s="1032" t="s">
        <v>143</v>
      </c>
      <c r="BE18" s="1034">
        <v>18</v>
      </c>
      <c r="BF18" s="1180"/>
      <c r="BG18" s="1036">
        <v>6</v>
      </c>
      <c r="BH18" s="1032">
        <v>32976</v>
      </c>
      <c r="BI18" s="1032">
        <v>1</v>
      </c>
      <c r="BJ18" s="1033">
        <v>25659</v>
      </c>
      <c r="BK18" s="1032">
        <v>16</v>
      </c>
      <c r="BL18" s="1032">
        <v>30</v>
      </c>
      <c r="BM18" s="1032">
        <v>296432</v>
      </c>
      <c r="BN18" s="1032">
        <v>4</v>
      </c>
      <c r="BO18" s="1032">
        <v>5499</v>
      </c>
      <c r="BP18" s="1032">
        <v>6</v>
      </c>
      <c r="BQ18" s="1034">
        <v>35</v>
      </c>
      <c r="BR18" s="1180"/>
      <c r="BS18" s="1234">
        <v>1</v>
      </c>
      <c r="BT18" s="1235">
        <v>2000</v>
      </c>
      <c r="BU18" s="1225"/>
      <c r="BV18" s="1036" t="s">
        <v>143</v>
      </c>
      <c r="BW18" s="1032" t="s">
        <v>143</v>
      </c>
      <c r="BX18" s="1032" t="s">
        <v>143</v>
      </c>
      <c r="BY18" s="1119">
        <v>174</v>
      </c>
      <c r="BZ18" s="1032">
        <v>7697</v>
      </c>
      <c r="CA18" s="1032">
        <v>5773</v>
      </c>
      <c r="CB18" s="1119">
        <v>8</v>
      </c>
      <c r="CC18" s="1032">
        <v>257</v>
      </c>
      <c r="CD18" s="1034">
        <v>166</v>
      </c>
      <c r="CE18" s="1180"/>
      <c r="CF18" s="1036">
        <v>455</v>
      </c>
      <c r="CG18" s="1032">
        <v>88</v>
      </c>
      <c r="CH18" s="1032">
        <v>18</v>
      </c>
      <c r="CI18" s="1032">
        <v>18</v>
      </c>
      <c r="CJ18" s="1032">
        <v>4</v>
      </c>
      <c r="CK18" s="1033">
        <v>9</v>
      </c>
      <c r="CL18" s="1033" t="s">
        <v>143</v>
      </c>
      <c r="CM18" s="1032">
        <v>119</v>
      </c>
      <c r="CN18" s="1033">
        <v>22052</v>
      </c>
      <c r="CO18" s="1033">
        <v>278</v>
      </c>
      <c r="CP18" s="1033">
        <v>219</v>
      </c>
      <c r="CQ18" s="1034">
        <v>147</v>
      </c>
      <c r="CR18" s="1180"/>
      <c r="CS18" s="1036">
        <v>116</v>
      </c>
      <c r="CT18" s="1033">
        <v>29</v>
      </c>
      <c r="CU18" s="1033">
        <v>2</v>
      </c>
      <c r="CV18" s="1033">
        <v>31</v>
      </c>
      <c r="CW18" s="1033">
        <v>41</v>
      </c>
      <c r="CX18" s="1236">
        <v>13</v>
      </c>
      <c r="CY18" s="1236" t="s">
        <v>143</v>
      </c>
      <c r="CZ18" s="1032">
        <v>1448022</v>
      </c>
      <c r="DA18" s="1034">
        <v>38188</v>
      </c>
    </row>
    <row r="19" spans="1:105" s="1078" customFormat="1" ht="15.75" customHeight="1" x14ac:dyDescent="0.2">
      <c r="A19" s="1093" t="s">
        <v>158</v>
      </c>
      <c r="B19" s="1126">
        <v>3</v>
      </c>
      <c r="C19" s="1126">
        <v>240</v>
      </c>
      <c r="D19" s="1126">
        <v>18</v>
      </c>
      <c r="E19" s="1126">
        <v>12</v>
      </c>
      <c r="F19" s="1126">
        <v>10</v>
      </c>
      <c r="G19" s="1126">
        <v>1239</v>
      </c>
      <c r="H19" s="1126">
        <f>723+19</f>
        <v>742</v>
      </c>
      <c r="I19" s="1089">
        <v>163</v>
      </c>
      <c r="J19" s="1037">
        <v>48</v>
      </c>
      <c r="K19" s="1028">
        <v>15818</v>
      </c>
      <c r="L19" s="1029">
        <v>1226</v>
      </c>
      <c r="M19" s="1028">
        <v>2</v>
      </c>
      <c r="N19" s="1028">
        <v>884</v>
      </c>
      <c r="O19" s="1028">
        <v>59</v>
      </c>
      <c r="P19" s="1029">
        <v>22</v>
      </c>
      <c r="Q19" s="1028">
        <v>8003</v>
      </c>
      <c r="R19" s="1028">
        <v>688</v>
      </c>
      <c r="S19" s="1028">
        <v>2</v>
      </c>
      <c r="T19" s="1028">
        <v>492</v>
      </c>
      <c r="U19" s="1030">
        <v>44</v>
      </c>
      <c r="V19" s="1126" t="s">
        <v>143</v>
      </c>
      <c r="W19" s="1029" t="s">
        <v>143</v>
      </c>
      <c r="X19" s="1029" t="s">
        <v>143</v>
      </c>
      <c r="Y19" s="1028" t="s">
        <v>143</v>
      </c>
      <c r="Z19" s="1029" t="s">
        <v>143</v>
      </c>
      <c r="AA19" s="1029" t="s">
        <v>143</v>
      </c>
      <c r="AB19" s="1028">
        <v>1</v>
      </c>
      <c r="AC19" s="1029">
        <v>711</v>
      </c>
      <c r="AD19" s="1029">
        <v>59</v>
      </c>
      <c r="AE19" s="1028">
        <v>11</v>
      </c>
      <c r="AF19" s="1029">
        <v>8306</v>
      </c>
      <c r="AG19" s="1030">
        <v>653</v>
      </c>
      <c r="AH19" s="1037" t="s">
        <v>143</v>
      </c>
      <c r="AI19" s="1028" t="s">
        <v>143</v>
      </c>
      <c r="AJ19" s="1028" t="s">
        <v>143</v>
      </c>
      <c r="AK19" s="1126">
        <v>2</v>
      </c>
      <c r="AL19" s="1028">
        <v>923</v>
      </c>
      <c r="AM19" s="1029">
        <v>94</v>
      </c>
      <c r="AN19" s="1028" t="s">
        <v>143</v>
      </c>
      <c r="AO19" s="1028">
        <v>1</v>
      </c>
      <c r="AP19" s="1029">
        <v>8</v>
      </c>
      <c r="AQ19" s="1029">
        <v>1</v>
      </c>
      <c r="AR19" s="1028">
        <v>1053221</v>
      </c>
      <c r="AS19" s="1237">
        <v>314.10000000000002</v>
      </c>
      <c r="AT19" s="1030">
        <v>2059117</v>
      </c>
      <c r="AU19" s="1126">
        <v>9</v>
      </c>
      <c r="AV19" s="1028" t="s">
        <v>143</v>
      </c>
      <c r="AW19" s="1028">
        <v>1</v>
      </c>
      <c r="AX19" s="1029">
        <v>6</v>
      </c>
      <c r="AY19" s="1028">
        <v>2</v>
      </c>
      <c r="AZ19" s="1028" t="s">
        <v>143</v>
      </c>
      <c r="BA19" s="1028" t="s">
        <v>143</v>
      </c>
      <c r="BB19" s="1028" t="s">
        <v>143</v>
      </c>
      <c r="BC19" s="1028" t="s">
        <v>143</v>
      </c>
      <c r="BD19" s="1028" t="s">
        <v>143</v>
      </c>
      <c r="BE19" s="1030">
        <v>26</v>
      </c>
      <c r="BF19" s="1180"/>
      <c r="BG19" s="1037">
        <v>5</v>
      </c>
      <c r="BH19" s="1028">
        <v>20794</v>
      </c>
      <c r="BI19" s="1028">
        <v>4</v>
      </c>
      <c r="BJ19" s="1029">
        <v>88392.8</v>
      </c>
      <c r="BK19" s="1028">
        <v>10</v>
      </c>
      <c r="BL19" s="1028">
        <v>17</v>
      </c>
      <c r="BM19" s="1028">
        <v>294574.51</v>
      </c>
      <c r="BN19" s="1028">
        <v>5</v>
      </c>
      <c r="BO19" s="1028">
        <v>4866.55</v>
      </c>
      <c r="BP19" s="1028">
        <v>6</v>
      </c>
      <c r="BQ19" s="1030">
        <v>44</v>
      </c>
      <c r="BR19" s="1180"/>
      <c r="BS19" s="1238">
        <v>2</v>
      </c>
      <c r="BT19" s="1239">
        <v>1683</v>
      </c>
      <c r="BU19" s="1225"/>
      <c r="BV19" s="1037">
        <v>0</v>
      </c>
      <c r="BW19" s="1028">
        <v>0</v>
      </c>
      <c r="BX19" s="1028">
        <v>0</v>
      </c>
      <c r="BY19" s="1126">
        <v>35</v>
      </c>
      <c r="BZ19" s="1028">
        <v>2000</v>
      </c>
      <c r="CA19" s="1028">
        <v>1853</v>
      </c>
      <c r="CB19" s="1126">
        <v>43</v>
      </c>
      <c r="CC19" s="1028">
        <v>2751</v>
      </c>
      <c r="CD19" s="1030">
        <v>2278</v>
      </c>
      <c r="CE19" s="1180"/>
      <c r="CF19" s="1037">
        <v>406</v>
      </c>
      <c r="CG19" s="1028">
        <v>82</v>
      </c>
      <c r="CH19" s="1028">
        <v>17</v>
      </c>
      <c r="CI19" s="1028">
        <v>17</v>
      </c>
      <c r="CJ19" s="1028">
        <v>5</v>
      </c>
      <c r="CK19" s="1029">
        <v>6</v>
      </c>
      <c r="CL19" s="1029" t="s">
        <v>139</v>
      </c>
      <c r="CM19" s="1028">
        <v>103</v>
      </c>
      <c r="CN19" s="1029">
        <v>17799</v>
      </c>
      <c r="CO19" s="1029">
        <v>70</v>
      </c>
      <c r="CP19" s="1029">
        <v>75</v>
      </c>
      <c r="CQ19" s="1030">
        <v>77</v>
      </c>
      <c r="CR19" s="1180"/>
      <c r="CS19" s="1037">
        <v>90</v>
      </c>
      <c r="CT19" s="1029">
        <v>35</v>
      </c>
      <c r="CU19" s="1029">
        <v>5</v>
      </c>
      <c r="CV19" s="1029">
        <v>27</v>
      </c>
      <c r="CW19" s="1029">
        <v>8</v>
      </c>
      <c r="CX19" s="1240">
        <v>15</v>
      </c>
      <c r="CY19" s="1240">
        <v>0</v>
      </c>
      <c r="CZ19" s="1028">
        <v>1285573.78</v>
      </c>
      <c r="DA19" s="1030">
        <v>137243.79999999999</v>
      </c>
    </row>
    <row r="20" spans="1:105" s="1078" customFormat="1" ht="15.75" customHeight="1" x14ac:dyDescent="0.2">
      <c r="A20" s="1106" t="s">
        <v>159</v>
      </c>
      <c r="B20" s="1039">
        <v>8</v>
      </c>
      <c r="C20" s="1107">
        <v>359</v>
      </c>
      <c r="D20" s="1107">
        <v>93</v>
      </c>
      <c r="E20" s="1107">
        <v>10</v>
      </c>
      <c r="F20" s="1107">
        <v>8</v>
      </c>
      <c r="G20" s="1107">
        <v>1307</v>
      </c>
      <c r="H20" s="1107">
        <v>744</v>
      </c>
      <c r="I20" s="1227">
        <v>136</v>
      </c>
      <c r="J20" s="1039">
        <v>58</v>
      </c>
      <c r="K20" s="1040">
        <v>19179</v>
      </c>
      <c r="L20" s="1228">
        <v>1287</v>
      </c>
      <c r="M20" s="1040" t="s">
        <v>143</v>
      </c>
      <c r="N20" s="1040" t="s">
        <v>143</v>
      </c>
      <c r="O20" s="1040" t="s">
        <v>143</v>
      </c>
      <c r="P20" s="1228">
        <v>25</v>
      </c>
      <c r="Q20" s="1040">
        <v>9731</v>
      </c>
      <c r="R20" s="1040">
        <v>700</v>
      </c>
      <c r="S20" s="1040" t="s">
        <v>143</v>
      </c>
      <c r="T20" s="1040" t="s">
        <v>143</v>
      </c>
      <c r="U20" s="1108" t="s">
        <v>143</v>
      </c>
      <c r="V20" s="1107" t="s">
        <v>143</v>
      </c>
      <c r="W20" s="1228" t="s">
        <v>143</v>
      </c>
      <c r="X20" s="1228" t="s">
        <v>143</v>
      </c>
      <c r="Y20" s="1040" t="s">
        <v>143</v>
      </c>
      <c r="Z20" s="1228" t="s">
        <v>143</v>
      </c>
      <c r="AA20" s="1228" t="s">
        <v>143</v>
      </c>
      <c r="AB20" s="1040">
        <v>1</v>
      </c>
      <c r="AC20" s="1228">
        <v>841</v>
      </c>
      <c r="AD20" s="1228">
        <v>69</v>
      </c>
      <c r="AE20" s="1040">
        <v>12</v>
      </c>
      <c r="AF20" s="1228">
        <v>10635</v>
      </c>
      <c r="AG20" s="1108">
        <v>650</v>
      </c>
      <c r="AH20" s="1039" t="s">
        <v>143</v>
      </c>
      <c r="AI20" s="1040" t="s">
        <v>143</v>
      </c>
      <c r="AJ20" s="1040" t="s">
        <v>143</v>
      </c>
      <c r="AK20" s="1107">
        <v>2</v>
      </c>
      <c r="AL20" s="1040">
        <v>104</v>
      </c>
      <c r="AM20" s="1033">
        <v>27</v>
      </c>
      <c r="AN20" s="1032" t="s">
        <v>143</v>
      </c>
      <c r="AO20" s="1032">
        <v>1</v>
      </c>
      <c r="AP20" s="1033">
        <v>5</v>
      </c>
      <c r="AQ20" s="1033">
        <v>6</v>
      </c>
      <c r="AR20" s="1032">
        <v>1179656</v>
      </c>
      <c r="AS20" s="1233">
        <v>317</v>
      </c>
      <c r="AT20" s="1034">
        <v>2236507</v>
      </c>
      <c r="AU20" s="1119">
        <v>18</v>
      </c>
      <c r="AV20" s="1032">
        <v>2</v>
      </c>
      <c r="AW20" s="1032">
        <v>1</v>
      </c>
      <c r="AX20" s="1033">
        <v>8</v>
      </c>
      <c r="AY20" s="1032">
        <v>6</v>
      </c>
      <c r="AZ20" s="1032" t="s">
        <v>143</v>
      </c>
      <c r="BA20" s="1032" t="s">
        <v>143</v>
      </c>
      <c r="BB20" s="1032">
        <v>1</v>
      </c>
      <c r="BC20" s="1032" t="s">
        <v>143</v>
      </c>
      <c r="BD20" s="1032" t="s">
        <v>143</v>
      </c>
      <c r="BE20" s="1034">
        <v>45</v>
      </c>
      <c r="BF20" s="1180"/>
      <c r="BG20" s="1036">
        <v>10</v>
      </c>
      <c r="BH20" s="1032">
        <v>50659</v>
      </c>
      <c r="BI20" s="1032">
        <v>3</v>
      </c>
      <c r="BJ20" s="1033">
        <v>60830</v>
      </c>
      <c r="BK20" s="1032">
        <v>7</v>
      </c>
      <c r="BL20" s="1032">
        <v>8</v>
      </c>
      <c r="BM20" s="1032">
        <v>172769</v>
      </c>
      <c r="BN20" s="1032">
        <v>6</v>
      </c>
      <c r="BO20" s="1032">
        <v>10259</v>
      </c>
      <c r="BP20" s="1032">
        <v>9</v>
      </c>
      <c r="BQ20" s="1034">
        <v>58</v>
      </c>
      <c r="BR20" s="1180"/>
      <c r="BS20" s="1234">
        <v>8</v>
      </c>
      <c r="BT20" s="1235">
        <v>7095</v>
      </c>
      <c r="BU20" s="1225"/>
      <c r="BV20" s="1036">
        <v>4</v>
      </c>
      <c r="BW20" s="1032">
        <v>210</v>
      </c>
      <c r="BX20" s="1032">
        <v>225</v>
      </c>
      <c r="BY20" s="1119">
        <v>89</v>
      </c>
      <c r="BZ20" s="1032">
        <v>3855</v>
      </c>
      <c r="CA20" s="1032">
        <v>3689</v>
      </c>
      <c r="CB20" s="1119">
        <v>6</v>
      </c>
      <c r="CC20" s="1032">
        <v>320</v>
      </c>
      <c r="CD20" s="1034">
        <v>322</v>
      </c>
      <c r="CE20" s="1180"/>
      <c r="CF20" s="1036">
        <v>385</v>
      </c>
      <c r="CG20" s="1032">
        <v>66</v>
      </c>
      <c r="CH20" s="1032">
        <v>17</v>
      </c>
      <c r="CI20" s="1032">
        <v>17</v>
      </c>
      <c r="CJ20" s="1032">
        <v>4</v>
      </c>
      <c r="CK20" s="1033">
        <v>8</v>
      </c>
      <c r="CL20" s="1033" t="s">
        <v>143</v>
      </c>
      <c r="CM20" s="1032">
        <v>140</v>
      </c>
      <c r="CN20" s="1033">
        <v>18058</v>
      </c>
      <c r="CO20" s="1033">
        <v>235</v>
      </c>
      <c r="CP20" s="1033">
        <v>124</v>
      </c>
      <c r="CQ20" s="1034">
        <v>119</v>
      </c>
      <c r="CR20" s="1180"/>
      <c r="CS20" s="1036">
        <v>99</v>
      </c>
      <c r="CT20" s="1033">
        <v>39</v>
      </c>
      <c r="CU20" s="1033">
        <v>3</v>
      </c>
      <c r="CV20" s="1033">
        <v>20</v>
      </c>
      <c r="CW20" s="1033">
        <v>7</v>
      </c>
      <c r="CX20" s="1236">
        <v>30</v>
      </c>
      <c r="CY20" s="1236" t="s">
        <v>143</v>
      </c>
      <c r="CZ20" s="1032">
        <v>1405934.35</v>
      </c>
      <c r="DA20" s="1034">
        <v>57867.74</v>
      </c>
    </row>
    <row r="21" spans="1:105" s="1078" customFormat="1" ht="15.75" customHeight="1" x14ac:dyDescent="0.2">
      <c r="A21" s="1093" t="s">
        <v>163</v>
      </c>
      <c r="B21" s="1250" t="s">
        <v>143</v>
      </c>
      <c r="C21" s="1009" t="s">
        <v>143</v>
      </c>
      <c r="D21" s="1009" t="s">
        <v>143</v>
      </c>
      <c r="E21" s="1094">
        <v>28</v>
      </c>
      <c r="F21" s="1028" t="s">
        <v>143</v>
      </c>
      <c r="G21" s="1126">
        <v>4798</v>
      </c>
      <c r="H21" s="1028" t="s">
        <v>143</v>
      </c>
      <c r="I21" s="1175">
        <v>422</v>
      </c>
      <c r="J21" s="1038">
        <v>32</v>
      </c>
      <c r="K21" s="1027">
        <v>17964</v>
      </c>
      <c r="L21" s="1219">
        <v>887</v>
      </c>
      <c r="M21" s="1027">
        <v>1</v>
      </c>
      <c r="N21" s="1027">
        <v>386</v>
      </c>
      <c r="O21" s="1027">
        <v>26</v>
      </c>
      <c r="P21" s="1219">
        <v>22</v>
      </c>
      <c r="Q21" s="1027">
        <v>8499</v>
      </c>
      <c r="R21" s="1027">
        <v>558</v>
      </c>
      <c r="S21" s="1027">
        <v>4</v>
      </c>
      <c r="T21" s="1027">
        <v>1214</v>
      </c>
      <c r="U21" s="1117">
        <v>88</v>
      </c>
      <c r="V21" s="1094" t="s">
        <v>143</v>
      </c>
      <c r="W21" s="1027" t="s">
        <v>143</v>
      </c>
      <c r="X21" s="1027" t="s">
        <v>143</v>
      </c>
      <c r="Y21" s="1028" t="s">
        <v>143</v>
      </c>
      <c r="Z21" s="1028" t="s">
        <v>143</v>
      </c>
      <c r="AA21" s="1028" t="s">
        <v>143</v>
      </c>
      <c r="AB21" s="1027">
        <v>1</v>
      </c>
      <c r="AC21" s="1219">
        <v>850</v>
      </c>
      <c r="AD21" s="1219">
        <v>51</v>
      </c>
      <c r="AE21" s="1027">
        <v>7</v>
      </c>
      <c r="AF21" s="1251">
        <v>6453</v>
      </c>
      <c r="AG21" s="1117">
        <v>376</v>
      </c>
      <c r="AH21" s="1038" t="s">
        <v>143</v>
      </c>
      <c r="AI21" s="1027" t="s">
        <v>143</v>
      </c>
      <c r="AJ21" s="1027" t="s">
        <v>143</v>
      </c>
      <c r="AK21" s="1126" t="s">
        <v>143</v>
      </c>
      <c r="AL21" s="1028" t="s">
        <v>143</v>
      </c>
      <c r="AM21" s="1029" t="s">
        <v>143</v>
      </c>
      <c r="AN21" s="1027" t="s">
        <v>143</v>
      </c>
      <c r="AO21" s="1027" t="s">
        <v>143</v>
      </c>
      <c r="AP21" s="1219">
        <v>4</v>
      </c>
      <c r="AQ21" s="1219">
        <v>4</v>
      </c>
      <c r="AR21" s="1027">
        <v>869524</v>
      </c>
      <c r="AS21" s="1222">
        <v>246</v>
      </c>
      <c r="AT21" s="1117">
        <v>1536555</v>
      </c>
      <c r="AU21" s="1094"/>
      <c r="AV21" s="1027"/>
      <c r="AW21" s="1027"/>
      <c r="AX21" s="1027">
        <v>4</v>
      </c>
      <c r="AY21" s="1027">
        <v>2</v>
      </c>
      <c r="AZ21" s="1027"/>
      <c r="BA21" s="1027"/>
      <c r="BB21" s="1027"/>
      <c r="BC21" s="1027"/>
      <c r="BD21" s="1027"/>
      <c r="BE21" s="1117">
        <v>20</v>
      </c>
      <c r="BF21" s="1180"/>
      <c r="BG21" s="1038">
        <v>3</v>
      </c>
      <c r="BH21" s="1027">
        <v>12022</v>
      </c>
      <c r="BI21" s="1027">
        <v>1</v>
      </c>
      <c r="BJ21" s="1219">
        <v>51000</v>
      </c>
      <c r="BK21" s="1027">
        <v>1</v>
      </c>
      <c r="BL21" s="1027">
        <v>1</v>
      </c>
      <c r="BM21" s="1027">
        <v>16000</v>
      </c>
      <c r="BN21" s="1027">
        <v>2</v>
      </c>
      <c r="BO21" s="1027">
        <v>1770</v>
      </c>
      <c r="BP21" s="1027">
        <v>6</v>
      </c>
      <c r="BQ21" s="1117">
        <v>28</v>
      </c>
      <c r="BR21" s="1180"/>
      <c r="BS21" s="1238">
        <v>4</v>
      </c>
      <c r="BT21" s="1239">
        <v>1712</v>
      </c>
      <c r="BU21" s="1225"/>
      <c r="BV21" s="1038">
        <v>76</v>
      </c>
      <c r="BW21" s="1027">
        <v>2874</v>
      </c>
      <c r="BX21" s="1027">
        <v>2924</v>
      </c>
      <c r="BY21" s="1126" t="s">
        <v>143</v>
      </c>
      <c r="BZ21" s="1028" t="s">
        <v>143</v>
      </c>
      <c r="CA21" s="1028" t="s">
        <v>143</v>
      </c>
      <c r="CB21" s="1094">
        <v>1</v>
      </c>
      <c r="CC21" s="1027">
        <v>40</v>
      </c>
      <c r="CD21" s="1117">
        <v>42</v>
      </c>
      <c r="CE21" s="1180"/>
      <c r="CF21" s="1038">
        <v>432</v>
      </c>
      <c r="CG21" s="1027">
        <v>58</v>
      </c>
      <c r="CH21" s="1027">
        <v>12</v>
      </c>
      <c r="CI21" s="1027">
        <v>12</v>
      </c>
      <c r="CJ21" s="1027">
        <v>4</v>
      </c>
      <c r="CK21" s="1219">
        <v>4</v>
      </c>
      <c r="CL21" s="1219">
        <v>0</v>
      </c>
      <c r="CM21" s="1027">
        <v>109</v>
      </c>
      <c r="CN21" s="1219">
        <v>18118</v>
      </c>
      <c r="CO21" s="1219">
        <v>247</v>
      </c>
      <c r="CP21" s="1219">
        <v>105</v>
      </c>
      <c r="CQ21" s="1117">
        <v>63</v>
      </c>
      <c r="CR21" s="1180"/>
      <c r="CS21" s="1038">
        <v>28</v>
      </c>
      <c r="CT21" s="1219">
        <v>5</v>
      </c>
      <c r="CU21" s="1219">
        <v>1</v>
      </c>
      <c r="CV21" s="1219">
        <v>8</v>
      </c>
      <c r="CW21" s="1219">
        <v>7</v>
      </c>
      <c r="CX21" s="1226">
        <v>7</v>
      </c>
      <c r="CY21" s="1226">
        <v>0</v>
      </c>
      <c r="CZ21" s="1027">
        <v>778854.36</v>
      </c>
      <c r="DA21" s="1117">
        <v>4422.8100000000004</v>
      </c>
    </row>
    <row r="22" spans="1:105" s="1078" customFormat="1" ht="15.75" customHeight="1" x14ac:dyDescent="0.2">
      <c r="A22" s="1106" t="s">
        <v>166</v>
      </c>
      <c r="B22" s="1039">
        <v>2</v>
      </c>
      <c r="C22" s="1107">
        <v>110</v>
      </c>
      <c r="D22" s="1107">
        <v>14</v>
      </c>
      <c r="E22" s="1107">
        <v>40</v>
      </c>
      <c r="F22" s="1107" t="s">
        <v>143</v>
      </c>
      <c r="G22" s="1107">
        <v>8522</v>
      </c>
      <c r="H22" s="1107" t="s">
        <v>143</v>
      </c>
      <c r="I22" s="1227">
        <v>656</v>
      </c>
      <c r="J22" s="1039">
        <v>52</v>
      </c>
      <c r="K22" s="1040">
        <v>29857</v>
      </c>
      <c r="L22" s="1228">
        <v>1524</v>
      </c>
      <c r="M22" s="1040" t="s">
        <v>143</v>
      </c>
      <c r="N22" s="1040" t="s">
        <v>143</v>
      </c>
      <c r="O22" s="1040" t="s">
        <v>143</v>
      </c>
      <c r="P22" s="1228">
        <v>27</v>
      </c>
      <c r="Q22" s="1040">
        <v>13859</v>
      </c>
      <c r="R22" s="1040">
        <v>844</v>
      </c>
      <c r="S22" s="1040" t="s">
        <v>143</v>
      </c>
      <c r="T22" s="1040" t="s">
        <v>143</v>
      </c>
      <c r="U22" s="1108" t="s">
        <v>143</v>
      </c>
      <c r="V22" s="1107" t="s">
        <v>143</v>
      </c>
      <c r="W22" s="1228" t="s">
        <v>143</v>
      </c>
      <c r="X22" s="1228" t="s">
        <v>143</v>
      </c>
      <c r="Y22" s="1040" t="s">
        <v>143</v>
      </c>
      <c r="Z22" s="1228" t="s">
        <v>143</v>
      </c>
      <c r="AA22" s="1228" t="s">
        <v>143</v>
      </c>
      <c r="AB22" s="1040">
        <v>1</v>
      </c>
      <c r="AC22" s="1228">
        <v>1438</v>
      </c>
      <c r="AD22" s="1228">
        <v>130</v>
      </c>
      <c r="AE22" s="1040">
        <v>6</v>
      </c>
      <c r="AF22" s="1040">
        <v>5167</v>
      </c>
      <c r="AG22" s="1108">
        <v>394</v>
      </c>
      <c r="AH22" s="1039">
        <v>1</v>
      </c>
      <c r="AI22" s="1040">
        <v>204</v>
      </c>
      <c r="AJ22" s="1040">
        <v>24</v>
      </c>
      <c r="AK22" s="1040">
        <v>1</v>
      </c>
      <c r="AL22" s="1040">
        <v>76</v>
      </c>
      <c r="AM22" s="1228">
        <v>24</v>
      </c>
      <c r="AN22" s="1040" t="s">
        <v>143</v>
      </c>
      <c r="AO22" s="1040" t="s">
        <v>143</v>
      </c>
      <c r="AP22" s="1228" t="s">
        <v>143</v>
      </c>
      <c r="AQ22" s="1228">
        <v>10</v>
      </c>
      <c r="AR22" s="1040">
        <v>1346637</v>
      </c>
      <c r="AS22" s="1229">
        <v>221.3</v>
      </c>
      <c r="AT22" s="1108">
        <v>2719133</v>
      </c>
      <c r="AU22" s="1107">
        <v>7</v>
      </c>
      <c r="AV22" s="1040" t="s">
        <v>143</v>
      </c>
      <c r="AW22" s="1040">
        <v>1</v>
      </c>
      <c r="AX22" s="1228">
        <v>4</v>
      </c>
      <c r="AY22" s="1040">
        <v>1</v>
      </c>
      <c r="AZ22" s="1040" t="s">
        <v>143</v>
      </c>
      <c r="BA22" s="1040" t="s">
        <v>143</v>
      </c>
      <c r="BB22" s="1040">
        <v>1</v>
      </c>
      <c r="BC22" s="1040" t="s">
        <v>143</v>
      </c>
      <c r="BD22" s="1040" t="s">
        <v>143</v>
      </c>
      <c r="BE22" s="1108">
        <v>33</v>
      </c>
      <c r="BF22" s="1180"/>
      <c r="BG22" s="1039">
        <v>11</v>
      </c>
      <c r="BH22" s="1040">
        <v>12857.53</v>
      </c>
      <c r="BI22" s="1040">
        <v>1</v>
      </c>
      <c r="BJ22" s="1228">
        <v>19800</v>
      </c>
      <c r="BK22" s="1040">
        <v>8</v>
      </c>
      <c r="BL22" s="1040">
        <v>11</v>
      </c>
      <c r="BM22" s="1040">
        <v>98065</v>
      </c>
      <c r="BN22" s="1040">
        <v>7</v>
      </c>
      <c r="BO22" s="1040">
        <v>5366.3270000000002</v>
      </c>
      <c r="BP22" s="1040">
        <v>8</v>
      </c>
      <c r="BQ22" s="1108">
        <v>29</v>
      </c>
      <c r="BR22" s="1180"/>
      <c r="BS22" s="1230">
        <v>5</v>
      </c>
      <c r="BT22" s="1231">
        <v>2002</v>
      </c>
      <c r="BU22" s="1225"/>
      <c r="BV22" s="1039" t="s">
        <v>143</v>
      </c>
      <c r="BW22" s="1040" t="s">
        <v>143</v>
      </c>
      <c r="BX22" s="1040" t="s">
        <v>143</v>
      </c>
      <c r="BY22" s="1107">
        <v>52</v>
      </c>
      <c r="BZ22" s="1040">
        <v>5506</v>
      </c>
      <c r="CA22" s="1040">
        <v>5506</v>
      </c>
      <c r="CB22" s="1119">
        <v>3</v>
      </c>
      <c r="CC22" s="1032">
        <v>133</v>
      </c>
      <c r="CD22" s="1034">
        <v>98</v>
      </c>
      <c r="CE22" s="1180"/>
      <c r="CF22" s="1039">
        <v>571</v>
      </c>
      <c r="CG22" s="1040">
        <v>51</v>
      </c>
      <c r="CH22" s="1040">
        <v>18</v>
      </c>
      <c r="CI22" s="1040">
        <v>18</v>
      </c>
      <c r="CJ22" s="1040">
        <v>2</v>
      </c>
      <c r="CK22" s="1228">
        <v>13</v>
      </c>
      <c r="CL22" s="1228">
        <v>0</v>
      </c>
      <c r="CM22" s="1040">
        <v>140</v>
      </c>
      <c r="CN22" s="1228">
        <v>30583</v>
      </c>
      <c r="CO22" s="1228">
        <v>341</v>
      </c>
      <c r="CP22" s="1228">
        <v>15</v>
      </c>
      <c r="CQ22" s="1108">
        <v>107</v>
      </c>
      <c r="CR22" s="1180"/>
      <c r="CS22" s="1039">
        <v>80</v>
      </c>
      <c r="CT22" s="1228">
        <v>5</v>
      </c>
      <c r="CU22" s="1228">
        <v>1</v>
      </c>
      <c r="CV22" s="1228">
        <v>32</v>
      </c>
      <c r="CW22" s="1228">
        <v>2</v>
      </c>
      <c r="CX22" s="1232">
        <v>17</v>
      </c>
      <c r="CY22" s="1232">
        <v>23</v>
      </c>
      <c r="CZ22" s="1040">
        <v>1352369.03</v>
      </c>
      <c r="DA22" s="1108">
        <v>94864.06</v>
      </c>
    </row>
    <row r="23" spans="1:105" s="1078" customFormat="1" ht="15.75" customHeight="1" x14ac:dyDescent="0.2">
      <c r="A23" s="1093" t="s">
        <v>167</v>
      </c>
      <c r="B23" s="1038">
        <v>0</v>
      </c>
      <c r="C23" s="1094">
        <v>0</v>
      </c>
      <c r="D23" s="1094">
        <v>0</v>
      </c>
      <c r="E23" s="1094">
        <v>21</v>
      </c>
      <c r="F23" s="1094">
        <v>1</v>
      </c>
      <c r="G23" s="1094">
        <v>4662</v>
      </c>
      <c r="H23" s="1094">
        <v>113</v>
      </c>
      <c r="I23" s="1175">
        <v>307</v>
      </c>
      <c r="J23" s="1038">
        <v>30</v>
      </c>
      <c r="K23" s="1027">
        <v>17780</v>
      </c>
      <c r="L23" s="1219">
        <v>893</v>
      </c>
      <c r="M23" s="1027" t="s">
        <v>143</v>
      </c>
      <c r="N23" s="1027" t="s">
        <v>143</v>
      </c>
      <c r="O23" s="1027" t="s">
        <v>143</v>
      </c>
      <c r="P23" s="1219">
        <v>15</v>
      </c>
      <c r="Q23" s="1027">
        <v>8569</v>
      </c>
      <c r="R23" s="1027">
        <v>503</v>
      </c>
      <c r="S23" s="1027">
        <v>1</v>
      </c>
      <c r="T23" s="1027">
        <v>492</v>
      </c>
      <c r="U23" s="1117">
        <v>20</v>
      </c>
      <c r="V23" s="1094" t="s">
        <v>143</v>
      </c>
      <c r="W23" s="1219" t="s">
        <v>143</v>
      </c>
      <c r="X23" s="1219" t="s">
        <v>143</v>
      </c>
      <c r="Y23" s="1027" t="s">
        <v>143</v>
      </c>
      <c r="Z23" s="1219" t="s">
        <v>143</v>
      </c>
      <c r="AA23" s="1219" t="s">
        <v>143</v>
      </c>
      <c r="AB23" s="1027" t="s">
        <v>143</v>
      </c>
      <c r="AC23" s="1219" t="s">
        <v>143</v>
      </c>
      <c r="AD23" s="1219" t="s">
        <v>143</v>
      </c>
      <c r="AE23" s="1027">
        <v>10</v>
      </c>
      <c r="AF23" s="1027">
        <v>11044</v>
      </c>
      <c r="AG23" s="1117">
        <v>613</v>
      </c>
      <c r="AH23" s="1038" t="s">
        <v>143</v>
      </c>
      <c r="AI23" s="1027" t="s">
        <v>143</v>
      </c>
      <c r="AJ23" s="1027" t="s">
        <v>143</v>
      </c>
      <c r="AK23" s="1027">
        <v>1</v>
      </c>
      <c r="AL23" s="1027">
        <v>151</v>
      </c>
      <c r="AM23" s="1219">
        <v>17</v>
      </c>
      <c r="AN23" s="1027" t="s">
        <v>143</v>
      </c>
      <c r="AO23" s="1027" t="s">
        <v>143</v>
      </c>
      <c r="AP23" s="1219">
        <v>2</v>
      </c>
      <c r="AQ23" s="1219">
        <v>1</v>
      </c>
      <c r="AR23" s="1027">
        <v>662008</v>
      </c>
      <c r="AS23" s="1222">
        <v>192.1</v>
      </c>
      <c r="AT23" s="1117">
        <v>1746321</v>
      </c>
      <c r="AU23" s="1094">
        <v>1</v>
      </c>
      <c r="AV23" s="1027" t="s">
        <v>143</v>
      </c>
      <c r="AW23" s="1027">
        <v>1</v>
      </c>
      <c r="AX23" s="1219" t="s">
        <v>143</v>
      </c>
      <c r="AY23" s="1027">
        <v>0</v>
      </c>
      <c r="AZ23" s="1027" t="s">
        <v>143</v>
      </c>
      <c r="BA23" s="1027" t="s">
        <v>143</v>
      </c>
      <c r="BB23" s="1027" t="s">
        <v>143</v>
      </c>
      <c r="BC23" s="1027" t="s">
        <v>143</v>
      </c>
      <c r="BD23" s="1027" t="s">
        <v>143</v>
      </c>
      <c r="BE23" s="1117">
        <v>13</v>
      </c>
      <c r="BF23" s="1180"/>
      <c r="BG23" s="1038">
        <v>6</v>
      </c>
      <c r="BH23" s="1027">
        <v>21426</v>
      </c>
      <c r="BI23" s="1027">
        <v>1</v>
      </c>
      <c r="BJ23" s="1219">
        <v>39102</v>
      </c>
      <c r="BK23" s="1027">
        <v>7</v>
      </c>
      <c r="BL23" s="1027">
        <v>7</v>
      </c>
      <c r="BM23" s="1027">
        <v>71717</v>
      </c>
      <c r="BN23" s="1027">
        <v>1</v>
      </c>
      <c r="BO23" s="1027">
        <v>553</v>
      </c>
      <c r="BP23" s="1027">
        <v>7</v>
      </c>
      <c r="BQ23" s="1117">
        <v>33</v>
      </c>
      <c r="BR23" s="1180"/>
      <c r="BS23" s="1223">
        <v>2</v>
      </c>
      <c r="BT23" s="1224">
        <v>1675</v>
      </c>
      <c r="BU23" s="1225"/>
      <c r="BV23" s="1038">
        <v>41</v>
      </c>
      <c r="BW23" s="1027">
        <v>2592</v>
      </c>
      <c r="BX23" s="1027">
        <v>2422</v>
      </c>
      <c r="BY23" s="1094">
        <v>8</v>
      </c>
      <c r="BZ23" s="1027">
        <v>431</v>
      </c>
      <c r="CA23" s="1027">
        <v>419</v>
      </c>
      <c r="CB23" s="1094">
        <v>2</v>
      </c>
      <c r="CC23" s="1027">
        <v>63</v>
      </c>
      <c r="CD23" s="1117">
        <v>50</v>
      </c>
      <c r="CE23" s="1180"/>
      <c r="CF23" s="1038">
        <v>331</v>
      </c>
      <c r="CG23" s="1027">
        <v>38</v>
      </c>
      <c r="CH23" s="1027">
        <v>10</v>
      </c>
      <c r="CI23" s="1027">
        <v>10</v>
      </c>
      <c r="CJ23" s="1027">
        <v>1</v>
      </c>
      <c r="CK23" s="1219">
        <v>5</v>
      </c>
      <c r="CL23" s="1219" t="s">
        <v>143</v>
      </c>
      <c r="CM23" s="1027">
        <v>84</v>
      </c>
      <c r="CN23" s="1219">
        <v>16494</v>
      </c>
      <c r="CO23" s="1219">
        <v>80</v>
      </c>
      <c r="CP23" s="1219">
        <v>113</v>
      </c>
      <c r="CQ23" s="1117">
        <v>92</v>
      </c>
      <c r="CR23" s="1180"/>
      <c r="CS23" s="1038">
        <v>34</v>
      </c>
      <c r="CT23" s="1219">
        <v>11</v>
      </c>
      <c r="CU23" s="1219" t="s">
        <v>143</v>
      </c>
      <c r="CV23" s="1219">
        <v>4</v>
      </c>
      <c r="CW23" s="1219">
        <v>13</v>
      </c>
      <c r="CX23" s="1226">
        <v>6</v>
      </c>
      <c r="CY23" s="1226" t="s">
        <v>143</v>
      </c>
      <c r="CZ23" s="1027">
        <v>576582</v>
      </c>
      <c r="DA23" s="1117">
        <v>8877</v>
      </c>
    </row>
    <row r="24" spans="1:105" s="1078" customFormat="1" ht="15.75" customHeight="1" x14ac:dyDescent="0.2">
      <c r="A24" s="1106" t="s">
        <v>168</v>
      </c>
      <c r="B24" s="1039" t="s">
        <v>143</v>
      </c>
      <c r="C24" s="1107" t="s">
        <v>143</v>
      </c>
      <c r="D24" s="1107" t="s">
        <v>143</v>
      </c>
      <c r="E24" s="1107">
        <v>41</v>
      </c>
      <c r="F24" s="1107">
        <v>3</v>
      </c>
      <c r="G24" s="1107">
        <v>7902</v>
      </c>
      <c r="H24" s="1107">
        <v>456</v>
      </c>
      <c r="I24" s="1227">
        <v>613</v>
      </c>
      <c r="J24" s="1039">
        <v>54</v>
      </c>
      <c r="K24" s="1040">
        <v>33793</v>
      </c>
      <c r="L24" s="1228">
        <v>1843</v>
      </c>
      <c r="M24" s="1032">
        <v>1</v>
      </c>
      <c r="N24" s="1032">
        <v>403</v>
      </c>
      <c r="O24" s="1032">
        <v>21</v>
      </c>
      <c r="P24" s="1228">
        <v>27</v>
      </c>
      <c r="Q24" s="1040">
        <v>15245</v>
      </c>
      <c r="R24" s="1040">
        <v>959</v>
      </c>
      <c r="S24" s="1032">
        <v>1</v>
      </c>
      <c r="T24" s="1032">
        <v>699</v>
      </c>
      <c r="U24" s="1034">
        <v>34</v>
      </c>
      <c r="V24" s="1107" t="s">
        <v>143</v>
      </c>
      <c r="W24" s="1228" t="s">
        <v>143</v>
      </c>
      <c r="X24" s="1228" t="s">
        <v>143</v>
      </c>
      <c r="Y24" s="1032" t="s">
        <v>143</v>
      </c>
      <c r="Z24" s="1032" t="s">
        <v>143</v>
      </c>
      <c r="AA24" s="1033" t="s">
        <v>143</v>
      </c>
      <c r="AB24" s="1040">
        <v>1</v>
      </c>
      <c r="AC24" s="1228">
        <v>1200</v>
      </c>
      <c r="AD24" s="1228">
        <v>91</v>
      </c>
      <c r="AE24" s="1032">
        <v>14</v>
      </c>
      <c r="AF24" s="1032">
        <v>12824</v>
      </c>
      <c r="AG24" s="1034" t="s">
        <v>152</v>
      </c>
      <c r="AH24" s="1039" t="s">
        <v>143</v>
      </c>
      <c r="AI24" s="1040" t="s">
        <v>143</v>
      </c>
      <c r="AJ24" s="1040" t="s">
        <v>143</v>
      </c>
      <c r="AK24" s="1032">
        <v>3</v>
      </c>
      <c r="AL24" s="1032">
        <v>481</v>
      </c>
      <c r="AM24" s="1033" t="s">
        <v>152</v>
      </c>
      <c r="AN24" s="1040" t="s">
        <v>143</v>
      </c>
      <c r="AO24" s="1040" t="s">
        <v>143</v>
      </c>
      <c r="AP24" s="1228">
        <v>4</v>
      </c>
      <c r="AQ24" s="1228">
        <v>4</v>
      </c>
      <c r="AR24" s="1040">
        <v>1611499</v>
      </c>
      <c r="AS24" s="1112">
        <v>250.2</v>
      </c>
      <c r="AT24" s="1108">
        <v>2524825</v>
      </c>
      <c r="AU24" s="1107">
        <v>2</v>
      </c>
      <c r="AV24" s="1040" t="s">
        <v>143</v>
      </c>
      <c r="AW24" s="1040" t="s">
        <v>143</v>
      </c>
      <c r="AX24" s="1228">
        <v>2</v>
      </c>
      <c r="AY24" s="1040" t="s">
        <v>143</v>
      </c>
      <c r="AZ24" s="1040" t="s">
        <v>143</v>
      </c>
      <c r="BA24" s="1040" t="s">
        <v>143</v>
      </c>
      <c r="BB24" s="1040" t="s">
        <v>143</v>
      </c>
      <c r="BC24" s="1040" t="s">
        <v>143</v>
      </c>
      <c r="BD24" s="1040" t="s">
        <v>143</v>
      </c>
      <c r="BE24" s="1108">
        <v>26</v>
      </c>
      <c r="BF24" s="1180"/>
      <c r="BG24" s="1036">
        <v>2</v>
      </c>
      <c r="BH24" s="1032">
        <v>26493</v>
      </c>
      <c r="BI24" s="1032">
        <v>1</v>
      </c>
      <c r="BJ24" s="1033">
        <v>23570</v>
      </c>
      <c r="BK24" s="1032">
        <v>3</v>
      </c>
      <c r="BL24" s="1032">
        <v>4</v>
      </c>
      <c r="BM24" s="1032">
        <v>38195</v>
      </c>
      <c r="BN24" s="1032">
        <v>2</v>
      </c>
      <c r="BO24" s="1032">
        <v>15053</v>
      </c>
      <c r="BP24" s="1032">
        <v>6</v>
      </c>
      <c r="BQ24" s="1034">
        <v>35</v>
      </c>
      <c r="BR24" s="1180"/>
      <c r="BS24" s="1230">
        <v>1</v>
      </c>
      <c r="BT24" s="1231">
        <v>1000</v>
      </c>
      <c r="BU24" s="1225"/>
      <c r="BV24" s="1039">
        <v>54</v>
      </c>
      <c r="BW24" s="1040">
        <v>5359</v>
      </c>
      <c r="BX24" s="1040">
        <v>5446</v>
      </c>
      <c r="BY24" s="1107" t="s">
        <v>143</v>
      </c>
      <c r="BZ24" s="1040" t="s">
        <v>143</v>
      </c>
      <c r="CA24" s="1040" t="s">
        <v>143</v>
      </c>
      <c r="CB24" s="1107">
        <v>5</v>
      </c>
      <c r="CC24" s="1134">
        <v>134</v>
      </c>
      <c r="CD24" s="1245">
        <v>111</v>
      </c>
      <c r="CE24" s="1180"/>
      <c r="CF24" s="1039">
        <v>641</v>
      </c>
      <c r="CG24" s="1040">
        <v>82</v>
      </c>
      <c r="CH24" s="1040">
        <v>20</v>
      </c>
      <c r="CI24" s="1040">
        <v>20</v>
      </c>
      <c r="CJ24" s="1040">
        <v>3</v>
      </c>
      <c r="CK24" s="1228">
        <v>8</v>
      </c>
      <c r="CL24" s="1228">
        <v>3</v>
      </c>
      <c r="CM24" s="1040">
        <v>108</v>
      </c>
      <c r="CN24" s="1228">
        <v>36099</v>
      </c>
      <c r="CO24" s="1228">
        <v>366</v>
      </c>
      <c r="CP24" s="1228">
        <v>133</v>
      </c>
      <c r="CQ24" s="1108">
        <v>133</v>
      </c>
      <c r="CR24" s="1180"/>
      <c r="CS24" s="1039">
        <v>34</v>
      </c>
      <c r="CT24" s="1228">
        <v>3</v>
      </c>
      <c r="CU24" s="1228" t="s">
        <v>143</v>
      </c>
      <c r="CV24" s="1228">
        <v>3</v>
      </c>
      <c r="CW24" s="1228">
        <v>7</v>
      </c>
      <c r="CX24" s="1232">
        <v>21</v>
      </c>
      <c r="CY24" s="1232" t="s">
        <v>143</v>
      </c>
      <c r="CZ24" s="1040">
        <v>1157204.8899999999</v>
      </c>
      <c r="DA24" s="1108">
        <v>70933.55</v>
      </c>
    </row>
    <row r="25" spans="1:105" s="1078" customFormat="1" ht="15.75" customHeight="1" x14ac:dyDescent="0.2">
      <c r="A25" s="1093" t="s">
        <v>171</v>
      </c>
      <c r="B25" s="1038" t="s">
        <v>143</v>
      </c>
      <c r="C25" s="1094" t="s">
        <v>143</v>
      </c>
      <c r="D25" s="1094" t="s">
        <v>143</v>
      </c>
      <c r="E25" s="1094">
        <v>35</v>
      </c>
      <c r="F25" s="1094">
        <v>14</v>
      </c>
      <c r="G25" s="1094">
        <v>7732</v>
      </c>
      <c r="H25" s="1094">
        <v>1450</v>
      </c>
      <c r="I25" s="1175">
        <v>726</v>
      </c>
      <c r="J25" s="1038">
        <v>42</v>
      </c>
      <c r="K25" s="1027">
        <v>21969</v>
      </c>
      <c r="L25" s="1219">
        <v>1166</v>
      </c>
      <c r="M25" s="1027" t="s">
        <v>152</v>
      </c>
      <c r="N25" s="1027" t="s">
        <v>152</v>
      </c>
      <c r="O25" s="1027" t="s">
        <v>152</v>
      </c>
      <c r="P25" s="1219">
        <v>21</v>
      </c>
      <c r="Q25" s="1027">
        <v>9968</v>
      </c>
      <c r="R25" s="1027">
        <v>610</v>
      </c>
      <c r="S25" s="1027" t="s">
        <v>152</v>
      </c>
      <c r="T25" s="1027" t="s">
        <v>152</v>
      </c>
      <c r="U25" s="1117" t="s">
        <v>152</v>
      </c>
      <c r="V25" s="1094" t="s">
        <v>143</v>
      </c>
      <c r="W25" s="1219" t="s">
        <v>143</v>
      </c>
      <c r="X25" s="1219" t="s">
        <v>143</v>
      </c>
      <c r="Y25" s="1027" t="s">
        <v>152</v>
      </c>
      <c r="Z25" s="1219" t="s">
        <v>152</v>
      </c>
      <c r="AA25" s="1219" t="s">
        <v>152</v>
      </c>
      <c r="AB25" s="1027">
        <v>1</v>
      </c>
      <c r="AC25" s="1219">
        <v>947</v>
      </c>
      <c r="AD25" s="1219">
        <v>68</v>
      </c>
      <c r="AE25" s="1027" t="s">
        <v>152</v>
      </c>
      <c r="AF25" s="1027" t="s">
        <v>152</v>
      </c>
      <c r="AG25" s="1117" t="s">
        <v>152</v>
      </c>
      <c r="AH25" s="1038" t="s">
        <v>143</v>
      </c>
      <c r="AI25" s="1027" t="s">
        <v>143</v>
      </c>
      <c r="AJ25" s="1027" t="s">
        <v>143</v>
      </c>
      <c r="AK25" s="1027" t="s">
        <v>152</v>
      </c>
      <c r="AL25" s="1027" t="s">
        <v>152</v>
      </c>
      <c r="AM25" s="1219" t="s">
        <v>152</v>
      </c>
      <c r="AN25" s="1027" t="s">
        <v>143</v>
      </c>
      <c r="AO25" s="1027" t="s">
        <v>143</v>
      </c>
      <c r="AP25" s="1219">
        <v>1</v>
      </c>
      <c r="AQ25" s="1219">
        <v>18</v>
      </c>
      <c r="AR25" s="1027">
        <v>912014</v>
      </c>
      <c r="AS25" s="1222">
        <v>210</v>
      </c>
      <c r="AT25" s="1117">
        <v>1777019</v>
      </c>
      <c r="AU25" s="1094" t="s">
        <v>143</v>
      </c>
      <c r="AV25" s="1027" t="s">
        <v>143</v>
      </c>
      <c r="AW25" s="1027" t="s">
        <v>143</v>
      </c>
      <c r="AX25" s="1219" t="s">
        <v>143</v>
      </c>
      <c r="AY25" s="1027" t="s">
        <v>143</v>
      </c>
      <c r="AZ25" s="1027" t="s">
        <v>143</v>
      </c>
      <c r="BA25" s="1027" t="s">
        <v>143</v>
      </c>
      <c r="BB25" s="1027" t="s">
        <v>143</v>
      </c>
      <c r="BC25" s="1027" t="s">
        <v>143</v>
      </c>
      <c r="BD25" s="1027" t="s">
        <v>143</v>
      </c>
      <c r="BE25" s="1117">
        <v>1</v>
      </c>
      <c r="BF25" s="1180"/>
      <c r="BG25" s="1038">
        <v>2</v>
      </c>
      <c r="BH25" s="1027">
        <v>12295</v>
      </c>
      <c r="BI25" s="1027" t="s">
        <v>143</v>
      </c>
      <c r="BJ25" s="1219" t="s">
        <v>143</v>
      </c>
      <c r="BK25" s="1027">
        <v>6</v>
      </c>
      <c r="BL25" s="1027">
        <v>12</v>
      </c>
      <c r="BM25" s="1027">
        <v>100843</v>
      </c>
      <c r="BN25" s="1027">
        <v>6</v>
      </c>
      <c r="BO25" s="1027">
        <v>5518</v>
      </c>
      <c r="BP25" s="1027">
        <v>11</v>
      </c>
      <c r="BQ25" s="1117">
        <v>53</v>
      </c>
      <c r="BR25" s="1180"/>
      <c r="BS25" s="1223">
        <v>1</v>
      </c>
      <c r="BT25" s="1224">
        <v>1338</v>
      </c>
      <c r="BU25" s="1225"/>
      <c r="BV25" s="1038">
        <v>82</v>
      </c>
      <c r="BW25" s="1027">
        <v>3457</v>
      </c>
      <c r="BX25" s="1027">
        <v>3470</v>
      </c>
      <c r="BY25" s="1094" t="s">
        <v>143</v>
      </c>
      <c r="BZ25" s="1027" t="s">
        <v>143</v>
      </c>
      <c r="CA25" s="1027" t="s">
        <v>143</v>
      </c>
      <c r="CB25" s="1094" t="s">
        <v>143</v>
      </c>
      <c r="CC25" s="1027" t="s">
        <v>143</v>
      </c>
      <c r="CD25" s="1117" t="s">
        <v>143</v>
      </c>
      <c r="CE25" s="1180"/>
      <c r="CF25" s="1038">
        <v>486</v>
      </c>
      <c r="CG25" s="1027">
        <v>73</v>
      </c>
      <c r="CH25" s="1027">
        <v>15</v>
      </c>
      <c r="CI25" s="1027">
        <v>15</v>
      </c>
      <c r="CJ25" s="1027">
        <v>4</v>
      </c>
      <c r="CK25" s="1219">
        <v>7</v>
      </c>
      <c r="CL25" s="1219" t="s">
        <v>143</v>
      </c>
      <c r="CM25" s="1027">
        <v>90</v>
      </c>
      <c r="CN25" s="1219">
        <v>21449</v>
      </c>
      <c r="CO25" s="1219">
        <v>288</v>
      </c>
      <c r="CP25" s="1219">
        <v>142</v>
      </c>
      <c r="CQ25" s="1117">
        <v>109</v>
      </c>
      <c r="CR25" s="1180"/>
      <c r="CS25" s="1038">
        <v>81</v>
      </c>
      <c r="CT25" s="1219">
        <v>26</v>
      </c>
      <c r="CU25" s="1219">
        <v>2</v>
      </c>
      <c r="CV25" s="1219">
        <v>37</v>
      </c>
      <c r="CW25" s="1219">
        <v>9</v>
      </c>
      <c r="CX25" s="1226">
        <v>7</v>
      </c>
      <c r="CY25" s="1226" t="s">
        <v>143</v>
      </c>
      <c r="CZ25" s="1027">
        <v>771968</v>
      </c>
      <c r="DA25" s="1117">
        <v>7395</v>
      </c>
    </row>
    <row r="26" spans="1:105" s="1078" customFormat="1" ht="15.75" customHeight="1" x14ac:dyDescent="0.2">
      <c r="A26" s="1106" t="s">
        <v>172</v>
      </c>
      <c r="B26" s="1036" t="s">
        <v>143</v>
      </c>
      <c r="C26" s="1119" t="s">
        <v>143</v>
      </c>
      <c r="D26" s="1119" t="s">
        <v>143</v>
      </c>
      <c r="E26" s="1119">
        <v>31</v>
      </c>
      <c r="F26" s="1119">
        <v>6</v>
      </c>
      <c r="G26" s="1119">
        <v>5422</v>
      </c>
      <c r="H26" s="1119">
        <v>769</v>
      </c>
      <c r="I26" s="1034">
        <v>557</v>
      </c>
      <c r="J26" s="1036">
        <v>69</v>
      </c>
      <c r="K26" s="1032">
        <v>26109</v>
      </c>
      <c r="L26" s="1033">
        <v>1865</v>
      </c>
      <c r="M26" s="1032" t="s">
        <v>143</v>
      </c>
      <c r="N26" s="1032" t="s">
        <v>143</v>
      </c>
      <c r="O26" s="1032" t="s">
        <v>143</v>
      </c>
      <c r="P26" s="1033">
        <v>37</v>
      </c>
      <c r="Q26" s="1032">
        <v>12748</v>
      </c>
      <c r="R26" s="1032">
        <v>946</v>
      </c>
      <c r="S26" s="1032">
        <v>9</v>
      </c>
      <c r="T26" s="1032">
        <v>2418</v>
      </c>
      <c r="U26" s="1034">
        <v>176</v>
      </c>
      <c r="V26" s="1180">
        <v>1</v>
      </c>
      <c r="W26" s="1032">
        <v>1020</v>
      </c>
      <c r="X26" s="1032">
        <v>79</v>
      </c>
      <c r="Y26" s="1032" t="s">
        <v>143</v>
      </c>
      <c r="Z26" s="1032" t="s">
        <v>143</v>
      </c>
      <c r="AA26" s="1032" t="s">
        <v>143</v>
      </c>
      <c r="AB26" s="1032" t="s">
        <v>143</v>
      </c>
      <c r="AC26" s="1033" t="s">
        <v>143</v>
      </c>
      <c r="AD26" s="1033" t="s">
        <v>143</v>
      </c>
      <c r="AE26" s="1032">
        <v>17</v>
      </c>
      <c r="AF26" s="1032">
        <v>12957</v>
      </c>
      <c r="AG26" s="1034" t="s">
        <v>152</v>
      </c>
      <c r="AH26" s="1036" t="s">
        <v>143</v>
      </c>
      <c r="AI26" s="1032" t="s">
        <v>143</v>
      </c>
      <c r="AJ26" s="1032" t="s">
        <v>143</v>
      </c>
      <c r="AK26" s="1032">
        <v>2</v>
      </c>
      <c r="AL26" s="1032">
        <v>1063</v>
      </c>
      <c r="AM26" s="1033" t="s">
        <v>152</v>
      </c>
      <c r="AN26" s="1040" t="s">
        <v>143</v>
      </c>
      <c r="AO26" s="1032" t="s">
        <v>143</v>
      </c>
      <c r="AP26" s="1033">
        <v>4</v>
      </c>
      <c r="AQ26" s="1228">
        <v>9</v>
      </c>
      <c r="AR26" s="1040">
        <v>1673056</v>
      </c>
      <c r="AS26" s="1229">
        <v>297.89716214820646</v>
      </c>
      <c r="AT26" s="1108">
        <v>2219527</v>
      </c>
      <c r="AU26" s="1107">
        <v>9</v>
      </c>
      <c r="AV26" s="1040" t="s">
        <v>143</v>
      </c>
      <c r="AW26" s="1040">
        <v>1</v>
      </c>
      <c r="AX26" s="1228">
        <v>1</v>
      </c>
      <c r="AY26" s="1040">
        <v>4</v>
      </c>
      <c r="AZ26" s="1040">
        <v>1</v>
      </c>
      <c r="BA26" s="1040" t="s">
        <v>143</v>
      </c>
      <c r="BB26" s="1040" t="s">
        <v>143</v>
      </c>
      <c r="BC26" s="1040">
        <v>2</v>
      </c>
      <c r="BD26" s="1040" t="s">
        <v>143</v>
      </c>
      <c r="BE26" s="1108" t="s">
        <v>143</v>
      </c>
      <c r="BF26" s="1180"/>
      <c r="BG26" s="1039">
        <v>3</v>
      </c>
      <c r="BH26" s="1040">
        <v>35116</v>
      </c>
      <c r="BI26" s="1040">
        <v>2</v>
      </c>
      <c r="BJ26" s="1228">
        <v>45847</v>
      </c>
      <c r="BK26" s="1040">
        <v>6</v>
      </c>
      <c r="BL26" s="1040">
        <v>21</v>
      </c>
      <c r="BM26" s="1040">
        <v>186566</v>
      </c>
      <c r="BN26" s="1040">
        <v>3</v>
      </c>
      <c r="BO26" s="1040">
        <v>1485</v>
      </c>
      <c r="BP26" s="1040">
        <v>12</v>
      </c>
      <c r="BQ26" s="1108">
        <v>55</v>
      </c>
      <c r="BR26" s="1180"/>
      <c r="BS26" s="1234">
        <v>4</v>
      </c>
      <c r="BT26" s="1252">
        <v>2021</v>
      </c>
      <c r="BU26" s="1225"/>
      <c r="BV26" s="1039" t="s">
        <v>143</v>
      </c>
      <c r="BW26" s="1040" t="s">
        <v>143</v>
      </c>
      <c r="BX26" s="1040" t="s">
        <v>143</v>
      </c>
      <c r="BY26" s="1107">
        <v>136</v>
      </c>
      <c r="BZ26" s="1040">
        <v>7163</v>
      </c>
      <c r="CA26" s="1040">
        <v>6160</v>
      </c>
      <c r="CB26" s="1107" t="s">
        <v>143</v>
      </c>
      <c r="CC26" s="1040" t="s">
        <v>143</v>
      </c>
      <c r="CD26" s="1108" t="s">
        <v>143</v>
      </c>
      <c r="CE26" s="1180"/>
      <c r="CF26" s="1039">
        <v>448</v>
      </c>
      <c r="CG26" s="1040">
        <v>48</v>
      </c>
      <c r="CH26" s="1040">
        <v>12</v>
      </c>
      <c r="CI26" s="1040">
        <v>11</v>
      </c>
      <c r="CJ26" s="1040">
        <v>1</v>
      </c>
      <c r="CK26" s="1228">
        <v>1</v>
      </c>
      <c r="CL26" s="1228">
        <v>6</v>
      </c>
      <c r="CM26" s="1040">
        <v>159</v>
      </c>
      <c r="CN26" s="1228">
        <v>28044</v>
      </c>
      <c r="CO26" s="1228">
        <v>1081</v>
      </c>
      <c r="CP26" s="1228">
        <v>119</v>
      </c>
      <c r="CQ26" s="1108">
        <v>135</v>
      </c>
      <c r="CR26" s="1180"/>
      <c r="CS26" s="1039">
        <v>963</v>
      </c>
      <c r="CT26" s="1228">
        <v>31</v>
      </c>
      <c r="CU26" s="1228">
        <v>4</v>
      </c>
      <c r="CV26" s="1228">
        <v>805</v>
      </c>
      <c r="CW26" s="1228">
        <v>42</v>
      </c>
      <c r="CX26" s="1232">
        <v>81</v>
      </c>
      <c r="CY26" s="1232">
        <v>0</v>
      </c>
      <c r="CZ26" s="1040">
        <v>1120603.8999999999</v>
      </c>
      <c r="DA26" s="1108">
        <v>15892.87</v>
      </c>
    </row>
    <row r="27" spans="1:105" s="1078" customFormat="1" ht="15.75" customHeight="1" x14ac:dyDescent="0.2">
      <c r="A27" s="1093" t="s">
        <v>173</v>
      </c>
      <c r="B27" s="1038">
        <v>2</v>
      </c>
      <c r="C27" s="1094">
        <v>62</v>
      </c>
      <c r="D27" s="1094">
        <v>4</v>
      </c>
      <c r="E27" s="1094">
        <v>32</v>
      </c>
      <c r="F27" s="1094">
        <v>11</v>
      </c>
      <c r="G27" s="1094">
        <v>4718</v>
      </c>
      <c r="H27" s="1094">
        <v>2885</v>
      </c>
      <c r="I27" s="1175">
        <v>447</v>
      </c>
      <c r="J27" s="1038">
        <v>46</v>
      </c>
      <c r="K27" s="1027">
        <v>17429</v>
      </c>
      <c r="L27" s="1219">
        <v>1374</v>
      </c>
      <c r="M27" s="1027">
        <v>1</v>
      </c>
      <c r="N27" s="1027">
        <v>177</v>
      </c>
      <c r="O27" s="1027">
        <v>24</v>
      </c>
      <c r="P27" s="1219">
        <v>23</v>
      </c>
      <c r="Q27" s="1027">
        <v>9117</v>
      </c>
      <c r="R27" s="1027">
        <v>733</v>
      </c>
      <c r="S27" s="1027">
        <v>2</v>
      </c>
      <c r="T27" s="1027">
        <v>340</v>
      </c>
      <c r="U27" s="1117">
        <v>36</v>
      </c>
      <c r="V27" s="1094" t="s">
        <v>143</v>
      </c>
      <c r="W27" s="1219" t="s">
        <v>143</v>
      </c>
      <c r="X27" s="1219" t="s">
        <v>143</v>
      </c>
      <c r="Y27" s="1027" t="s">
        <v>143</v>
      </c>
      <c r="Z27" s="1219" t="s">
        <v>143</v>
      </c>
      <c r="AA27" s="1219" t="s">
        <v>143</v>
      </c>
      <c r="AB27" s="1027">
        <v>1</v>
      </c>
      <c r="AC27" s="1219">
        <v>951</v>
      </c>
      <c r="AD27" s="1219">
        <v>78</v>
      </c>
      <c r="AE27" s="1027">
        <v>11</v>
      </c>
      <c r="AF27" s="1027">
        <v>9413</v>
      </c>
      <c r="AG27" s="1117">
        <v>738</v>
      </c>
      <c r="AH27" s="1038">
        <v>1</v>
      </c>
      <c r="AI27" s="1027">
        <v>215</v>
      </c>
      <c r="AJ27" s="1027">
        <v>20</v>
      </c>
      <c r="AK27" s="1027">
        <v>2</v>
      </c>
      <c r="AL27" s="1027">
        <v>120</v>
      </c>
      <c r="AM27" s="1219">
        <v>33</v>
      </c>
      <c r="AN27" s="1027" t="s">
        <v>143</v>
      </c>
      <c r="AO27" s="1027" t="s">
        <v>143</v>
      </c>
      <c r="AP27" s="1219">
        <v>5</v>
      </c>
      <c r="AQ27" s="1219">
        <v>4</v>
      </c>
      <c r="AR27" s="1027">
        <v>827581</v>
      </c>
      <c r="AS27" s="1222">
        <v>211.9</v>
      </c>
      <c r="AT27" s="1117">
        <v>1471981</v>
      </c>
      <c r="AU27" s="1094">
        <v>2</v>
      </c>
      <c r="AV27" s="1027">
        <v>1</v>
      </c>
      <c r="AW27" s="1027" t="s">
        <v>143</v>
      </c>
      <c r="AX27" s="1219" t="s">
        <v>143</v>
      </c>
      <c r="AY27" s="1027">
        <v>1</v>
      </c>
      <c r="AZ27" s="1027" t="s">
        <v>143</v>
      </c>
      <c r="BA27" s="1027" t="s">
        <v>143</v>
      </c>
      <c r="BB27" s="1027" t="s">
        <v>143</v>
      </c>
      <c r="BC27" s="1027" t="s">
        <v>143</v>
      </c>
      <c r="BD27" s="1027" t="s">
        <v>143</v>
      </c>
      <c r="BE27" s="1117" t="s">
        <v>143</v>
      </c>
      <c r="BF27" s="1180"/>
      <c r="BG27" s="1038">
        <v>4</v>
      </c>
      <c r="BH27" s="1027">
        <v>32238</v>
      </c>
      <c r="BI27" s="1027">
        <v>1</v>
      </c>
      <c r="BJ27" s="1219">
        <v>24017</v>
      </c>
      <c r="BK27" s="1027">
        <v>7</v>
      </c>
      <c r="BL27" s="1027">
        <v>8</v>
      </c>
      <c r="BM27" s="1027">
        <v>79524</v>
      </c>
      <c r="BN27" s="1027">
        <v>12</v>
      </c>
      <c r="BO27" s="1027">
        <v>7021</v>
      </c>
      <c r="BP27" s="1027">
        <v>6</v>
      </c>
      <c r="BQ27" s="1117">
        <v>36</v>
      </c>
      <c r="BR27" s="1180"/>
      <c r="BS27" s="1223">
        <v>3</v>
      </c>
      <c r="BT27" s="1224">
        <v>3216</v>
      </c>
      <c r="BU27" s="1225"/>
      <c r="BV27" s="1038" t="s">
        <v>143</v>
      </c>
      <c r="BW27" s="1027" t="s">
        <v>143</v>
      </c>
      <c r="BX27" s="1027" t="s">
        <v>143</v>
      </c>
      <c r="BY27" s="1094">
        <v>1</v>
      </c>
      <c r="BZ27" s="1027">
        <v>35</v>
      </c>
      <c r="CA27" s="1027">
        <v>18</v>
      </c>
      <c r="CB27" s="1094">
        <v>71</v>
      </c>
      <c r="CC27" s="1027">
        <v>2491</v>
      </c>
      <c r="CD27" s="1117">
        <v>2134</v>
      </c>
      <c r="CE27" s="1180"/>
      <c r="CF27" s="1038">
        <v>497</v>
      </c>
      <c r="CG27" s="1027">
        <v>82</v>
      </c>
      <c r="CH27" s="1027">
        <v>21</v>
      </c>
      <c r="CI27" s="1027">
        <v>20</v>
      </c>
      <c r="CJ27" s="1027">
        <v>4</v>
      </c>
      <c r="CK27" s="1219">
        <v>1</v>
      </c>
      <c r="CL27" s="1219">
        <v>10</v>
      </c>
      <c r="CM27" s="1027">
        <v>154</v>
      </c>
      <c r="CN27" s="1219" t="s">
        <v>581</v>
      </c>
      <c r="CO27" s="1219">
        <v>215</v>
      </c>
      <c r="CP27" s="1219">
        <v>80</v>
      </c>
      <c r="CQ27" s="1117">
        <v>70</v>
      </c>
      <c r="CR27" s="1180"/>
      <c r="CS27" s="1038">
        <v>142</v>
      </c>
      <c r="CT27" s="1219">
        <v>25</v>
      </c>
      <c r="CU27" s="1219">
        <v>1</v>
      </c>
      <c r="CV27" s="1219">
        <v>89</v>
      </c>
      <c r="CW27" s="1219">
        <v>7</v>
      </c>
      <c r="CX27" s="1226">
        <v>20</v>
      </c>
      <c r="CY27" s="1226" t="s">
        <v>143</v>
      </c>
      <c r="CZ27" s="1027">
        <v>1243782</v>
      </c>
      <c r="DA27" s="1117">
        <v>8603</v>
      </c>
    </row>
    <row r="28" spans="1:105" s="1078" customFormat="1" ht="15.75" customHeight="1" x14ac:dyDescent="0.2">
      <c r="A28" s="1106" t="s">
        <v>174</v>
      </c>
      <c r="B28" s="1039">
        <v>8</v>
      </c>
      <c r="C28" s="1107">
        <v>204</v>
      </c>
      <c r="D28" s="1107">
        <v>41</v>
      </c>
      <c r="E28" s="1107">
        <v>8</v>
      </c>
      <c r="F28" s="1107">
        <v>6</v>
      </c>
      <c r="G28" s="1107">
        <v>533</v>
      </c>
      <c r="H28" s="1107">
        <v>314</v>
      </c>
      <c r="I28" s="1227">
        <v>186</v>
      </c>
      <c r="J28" s="1039">
        <v>66</v>
      </c>
      <c r="K28" s="1040">
        <v>19993</v>
      </c>
      <c r="L28" s="1228">
        <v>1662</v>
      </c>
      <c r="M28" s="1040">
        <v>1</v>
      </c>
      <c r="N28" s="1040">
        <v>419</v>
      </c>
      <c r="O28" s="1040">
        <v>18</v>
      </c>
      <c r="P28" s="1228">
        <v>27</v>
      </c>
      <c r="Q28" s="1040">
        <v>10385</v>
      </c>
      <c r="R28" s="1040">
        <v>864</v>
      </c>
      <c r="S28" s="1040">
        <v>2</v>
      </c>
      <c r="T28" s="1040">
        <v>753</v>
      </c>
      <c r="U28" s="1108">
        <v>54</v>
      </c>
      <c r="V28" s="1107" t="s">
        <v>143</v>
      </c>
      <c r="W28" s="1228" t="s">
        <v>143</v>
      </c>
      <c r="X28" s="1228" t="s">
        <v>143</v>
      </c>
      <c r="Y28" s="1032" t="s">
        <v>143</v>
      </c>
      <c r="Z28" s="1032" t="s">
        <v>143</v>
      </c>
      <c r="AA28" s="1032" t="s">
        <v>143</v>
      </c>
      <c r="AB28" s="1040" t="s">
        <v>143</v>
      </c>
      <c r="AC28" s="1040" t="s">
        <v>143</v>
      </c>
      <c r="AD28" s="1040" t="s">
        <v>143</v>
      </c>
      <c r="AE28" s="1040">
        <v>19</v>
      </c>
      <c r="AF28" s="1040">
        <v>12239</v>
      </c>
      <c r="AG28" s="1034">
        <v>1035</v>
      </c>
      <c r="AH28" s="1161" t="s">
        <v>143</v>
      </c>
      <c r="AI28" s="1040" t="s">
        <v>143</v>
      </c>
      <c r="AJ28" s="1040" t="s">
        <v>143</v>
      </c>
      <c r="AK28" s="1040">
        <v>1</v>
      </c>
      <c r="AL28" s="1040">
        <v>556</v>
      </c>
      <c r="AM28" s="1040">
        <v>124</v>
      </c>
      <c r="AN28" s="1040" t="s">
        <v>143</v>
      </c>
      <c r="AO28" s="1040" t="s">
        <v>143</v>
      </c>
      <c r="AP28" s="1228">
        <v>8</v>
      </c>
      <c r="AQ28" s="1228">
        <v>25</v>
      </c>
      <c r="AR28" s="1040">
        <v>1051246</v>
      </c>
      <c r="AS28" s="1229">
        <v>253.5</v>
      </c>
      <c r="AT28" s="1108">
        <v>1810996</v>
      </c>
      <c r="AU28" s="1107">
        <v>11</v>
      </c>
      <c r="AV28" s="1040">
        <v>4</v>
      </c>
      <c r="AW28" s="1040">
        <v>1</v>
      </c>
      <c r="AX28" s="1228">
        <v>1</v>
      </c>
      <c r="AY28" s="1040">
        <v>4</v>
      </c>
      <c r="AZ28" s="1040" t="s">
        <v>143</v>
      </c>
      <c r="BA28" s="1040" t="s">
        <v>143</v>
      </c>
      <c r="BB28" s="1040">
        <v>1</v>
      </c>
      <c r="BC28" s="1040" t="s">
        <v>143</v>
      </c>
      <c r="BD28" s="1040" t="s">
        <v>143</v>
      </c>
      <c r="BE28" s="1108">
        <v>82</v>
      </c>
      <c r="BF28" s="1180"/>
      <c r="BG28" s="1039">
        <v>10</v>
      </c>
      <c r="BH28" s="1040">
        <v>55209.27</v>
      </c>
      <c r="BI28" s="1040">
        <v>1</v>
      </c>
      <c r="BJ28" s="1228">
        <v>29500</v>
      </c>
      <c r="BK28" s="1040">
        <v>2</v>
      </c>
      <c r="BL28" s="1040">
        <v>3</v>
      </c>
      <c r="BM28" s="1040">
        <v>126581.73</v>
      </c>
      <c r="BN28" s="1040">
        <v>6</v>
      </c>
      <c r="BO28" s="1040">
        <v>3774.98</v>
      </c>
      <c r="BP28" s="1040">
        <v>13</v>
      </c>
      <c r="BQ28" s="1108">
        <v>54</v>
      </c>
      <c r="BR28" s="1180"/>
      <c r="BS28" s="1230">
        <v>4</v>
      </c>
      <c r="BT28" s="1231">
        <v>2196</v>
      </c>
      <c r="BU28" s="1253"/>
      <c r="BV28" s="1039" t="s">
        <v>143</v>
      </c>
      <c r="BW28" s="1040" t="s">
        <v>143</v>
      </c>
      <c r="BX28" s="1040" t="s">
        <v>143</v>
      </c>
      <c r="BY28" s="1107">
        <v>61</v>
      </c>
      <c r="BZ28" s="1040">
        <v>3350</v>
      </c>
      <c r="CA28" s="1040">
        <v>4151</v>
      </c>
      <c r="CB28" s="1107">
        <v>56</v>
      </c>
      <c r="CC28" s="1040">
        <v>2347</v>
      </c>
      <c r="CD28" s="1108">
        <v>2475</v>
      </c>
      <c r="CE28" s="1180"/>
      <c r="CF28" s="1039">
        <v>468</v>
      </c>
      <c r="CG28" s="1040">
        <v>75</v>
      </c>
      <c r="CH28" s="1040">
        <v>19</v>
      </c>
      <c r="CI28" s="1040">
        <v>19</v>
      </c>
      <c r="CJ28" s="1040">
        <v>8</v>
      </c>
      <c r="CK28" s="1228">
        <v>1</v>
      </c>
      <c r="CL28" s="1228">
        <v>8</v>
      </c>
      <c r="CM28" s="1040">
        <v>77</v>
      </c>
      <c r="CN28" s="1228">
        <v>19424</v>
      </c>
      <c r="CO28" s="1228">
        <v>179</v>
      </c>
      <c r="CP28" s="1228">
        <v>133</v>
      </c>
      <c r="CQ28" s="1108">
        <v>201</v>
      </c>
      <c r="CR28" s="1180"/>
      <c r="CS28" s="1039">
        <v>271</v>
      </c>
      <c r="CT28" s="1228">
        <v>64</v>
      </c>
      <c r="CU28" s="1228">
        <v>5</v>
      </c>
      <c r="CV28" s="1228">
        <v>160</v>
      </c>
      <c r="CW28" s="1228">
        <v>9</v>
      </c>
      <c r="CX28" s="1232">
        <v>29</v>
      </c>
      <c r="CY28" s="1232">
        <v>4</v>
      </c>
      <c r="CZ28" s="1040">
        <v>1630648</v>
      </c>
      <c r="DA28" s="1108">
        <v>51830</v>
      </c>
    </row>
    <row r="29" spans="1:105" s="1078" customFormat="1" ht="15.75" customHeight="1" x14ac:dyDescent="0.2">
      <c r="A29" s="1093" t="s">
        <v>175</v>
      </c>
      <c r="B29" s="1254" t="s">
        <v>143</v>
      </c>
      <c r="C29" s="1255" t="s">
        <v>143</v>
      </c>
      <c r="D29" s="1256" t="s">
        <v>143</v>
      </c>
      <c r="E29" s="1094">
        <v>29</v>
      </c>
      <c r="F29" s="1094">
        <v>16</v>
      </c>
      <c r="G29" s="1094">
        <v>3252</v>
      </c>
      <c r="H29" s="1094">
        <v>922</v>
      </c>
      <c r="I29" s="1175">
        <v>423</v>
      </c>
      <c r="J29" s="1038">
        <v>54</v>
      </c>
      <c r="K29" s="1027">
        <v>23007</v>
      </c>
      <c r="L29" s="1219">
        <v>1562</v>
      </c>
      <c r="M29" s="1257">
        <v>2</v>
      </c>
      <c r="N29" s="1255">
        <v>753</v>
      </c>
      <c r="O29" s="1256">
        <v>39</v>
      </c>
      <c r="P29" s="1219">
        <v>25</v>
      </c>
      <c r="Q29" s="1027">
        <v>11047</v>
      </c>
      <c r="R29" s="1027">
        <v>815</v>
      </c>
      <c r="S29" s="1027">
        <v>4</v>
      </c>
      <c r="T29" s="1027">
        <v>1167</v>
      </c>
      <c r="U29" s="1117">
        <v>88</v>
      </c>
      <c r="V29" s="1258" t="s">
        <v>143</v>
      </c>
      <c r="W29" s="1255" t="s">
        <v>143</v>
      </c>
      <c r="X29" s="1255" t="s">
        <v>143</v>
      </c>
      <c r="Y29" s="1255" t="s">
        <v>143</v>
      </c>
      <c r="Z29" s="1255" t="s">
        <v>143</v>
      </c>
      <c r="AA29" s="1255" t="s">
        <v>143</v>
      </c>
      <c r="AB29" s="1255">
        <v>1</v>
      </c>
      <c r="AC29" s="1255">
        <v>713</v>
      </c>
      <c r="AD29" s="1255">
        <v>59</v>
      </c>
      <c r="AE29" s="1027">
        <v>18</v>
      </c>
      <c r="AF29" s="1094">
        <v>16089</v>
      </c>
      <c r="AG29" s="1117" t="s">
        <v>152</v>
      </c>
      <c r="AH29" s="1254" t="s">
        <v>143</v>
      </c>
      <c r="AI29" s="1255" t="s">
        <v>143</v>
      </c>
      <c r="AJ29" s="1255" t="s">
        <v>143</v>
      </c>
      <c r="AK29" s="1027">
        <v>1</v>
      </c>
      <c r="AL29" s="1027">
        <v>329</v>
      </c>
      <c r="AM29" s="1027" t="s">
        <v>152</v>
      </c>
      <c r="AN29" s="1255" t="s">
        <v>143</v>
      </c>
      <c r="AO29" s="1255">
        <v>1</v>
      </c>
      <c r="AP29" s="1219">
        <v>5</v>
      </c>
      <c r="AQ29" s="1219">
        <v>7</v>
      </c>
      <c r="AR29" s="1027">
        <v>1621382</v>
      </c>
      <c r="AS29" s="1222">
        <v>350.9</v>
      </c>
      <c r="AT29" s="1117">
        <v>2424982</v>
      </c>
      <c r="AU29" s="1094">
        <v>36</v>
      </c>
      <c r="AV29" s="1027">
        <v>0</v>
      </c>
      <c r="AW29" s="1027">
        <v>0</v>
      </c>
      <c r="AX29" s="1219">
        <v>23</v>
      </c>
      <c r="AY29" s="1027">
        <v>13</v>
      </c>
      <c r="AZ29" s="1027">
        <v>0</v>
      </c>
      <c r="BA29" s="1027">
        <v>0</v>
      </c>
      <c r="BB29" s="1027">
        <v>0</v>
      </c>
      <c r="BC29" s="1027">
        <v>0</v>
      </c>
      <c r="BD29" s="1027">
        <v>0</v>
      </c>
      <c r="BE29" s="1117">
        <v>62</v>
      </c>
      <c r="BF29" s="1180"/>
      <c r="BG29" s="1037">
        <v>11</v>
      </c>
      <c r="BH29" s="1028">
        <v>34877</v>
      </c>
      <c r="BI29" s="1028">
        <v>1</v>
      </c>
      <c r="BJ29" s="1029">
        <v>35922</v>
      </c>
      <c r="BK29" s="1028">
        <v>2</v>
      </c>
      <c r="BL29" s="1028">
        <v>2</v>
      </c>
      <c r="BM29" s="1028">
        <v>30950</v>
      </c>
      <c r="BN29" s="1028">
        <v>3</v>
      </c>
      <c r="BO29" s="1028">
        <v>2949</v>
      </c>
      <c r="BP29" s="1028">
        <v>5</v>
      </c>
      <c r="BQ29" s="1030">
        <v>27</v>
      </c>
      <c r="BR29" s="1180"/>
      <c r="BS29" s="1223">
        <v>1</v>
      </c>
      <c r="BT29" s="1224">
        <v>1919</v>
      </c>
      <c r="BU29" s="1225"/>
      <c r="BV29" s="1038">
        <v>0</v>
      </c>
      <c r="BW29" s="1027">
        <v>0</v>
      </c>
      <c r="BX29" s="1027">
        <v>0</v>
      </c>
      <c r="BY29" s="1094">
        <v>0</v>
      </c>
      <c r="BZ29" s="1027">
        <v>0</v>
      </c>
      <c r="CA29" s="1027">
        <v>0</v>
      </c>
      <c r="CB29" s="1094">
        <v>100</v>
      </c>
      <c r="CC29" s="1027">
        <v>5374</v>
      </c>
      <c r="CD29" s="1117">
        <v>5029</v>
      </c>
      <c r="CE29" s="1180"/>
      <c r="CF29" s="1038">
        <v>422</v>
      </c>
      <c r="CG29" s="1027">
        <v>59</v>
      </c>
      <c r="CH29" s="1027">
        <v>13</v>
      </c>
      <c r="CI29" s="1027">
        <v>13</v>
      </c>
      <c r="CJ29" s="1027">
        <v>3</v>
      </c>
      <c r="CK29" s="1219">
        <v>0</v>
      </c>
      <c r="CL29" s="1257">
        <v>9</v>
      </c>
      <c r="CM29" s="1027">
        <v>73</v>
      </c>
      <c r="CN29" s="1219">
        <v>18714</v>
      </c>
      <c r="CO29" s="1219">
        <v>198</v>
      </c>
      <c r="CP29" s="1219">
        <v>501</v>
      </c>
      <c r="CQ29" s="1117">
        <v>208</v>
      </c>
      <c r="CR29" s="1180"/>
      <c r="CS29" s="1038">
        <v>234</v>
      </c>
      <c r="CT29" s="1219">
        <v>47</v>
      </c>
      <c r="CU29" s="1257">
        <v>3</v>
      </c>
      <c r="CV29" s="1219">
        <v>39</v>
      </c>
      <c r="CW29" s="1219">
        <v>88</v>
      </c>
      <c r="CX29" s="1226">
        <v>57</v>
      </c>
      <c r="CY29" s="1226">
        <v>0</v>
      </c>
      <c r="CZ29" s="1028">
        <v>1479409.15</v>
      </c>
      <c r="DA29" s="1030">
        <v>51666.559999999998</v>
      </c>
    </row>
    <row r="30" spans="1:105" s="1078" customFormat="1" ht="15.75" customHeight="1" x14ac:dyDescent="0.2">
      <c r="A30" s="1106" t="s">
        <v>251</v>
      </c>
      <c r="B30" s="1039">
        <v>16</v>
      </c>
      <c r="C30" s="1107">
        <v>19</v>
      </c>
      <c r="D30" s="1107">
        <v>8</v>
      </c>
      <c r="E30" s="1107">
        <v>7</v>
      </c>
      <c r="F30" s="1107">
        <v>5</v>
      </c>
      <c r="G30" s="1107">
        <v>421</v>
      </c>
      <c r="H30" s="1107">
        <v>173</v>
      </c>
      <c r="I30" s="1227">
        <v>67</v>
      </c>
      <c r="J30" s="1039">
        <v>52</v>
      </c>
      <c r="K30" s="1040">
        <v>13484</v>
      </c>
      <c r="L30" s="1228">
        <v>1091</v>
      </c>
      <c r="M30" s="1040" t="s">
        <v>143</v>
      </c>
      <c r="N30" s="1040" t="s">
        <v>143</v>
      </c>
      <c r="O30" s="1040" t="s">
        <v>143</v>
      </c>
      <c r="P30" s="1228">
        <v>26</v>
      </c>
      <c r="Q30" s="1040">
        <v>6855</v>
      </c>
      <c r="R30" s="1040">
        <v>626</v>
      </c>
      <c r="S30" s="1040">
        <v>3</v>
      </c>
      <c r="T30" s="1040" t="s">
        <v>152</v>
      </c>
      <c r="U30" s="1108" t="s">
        <v>152</v>
      </c>
      <c r="V30" s="1107" t="s">
        <v>143</v>
      </c>
      <c r="W30" s="1228" t="s">
        <v>143</v>
      </c>
      <c r="X30" s="1228" t="s">
        <v>143</v>
      </c>
      <c r="Y30" s="1040">
        <v>1</v>
      </c>
      <c r="Z30" s="1228">
        <v>713</v>
      </c>
      <c r="AA30" s="1228">
        <v>40</v>
      </c>
      <c r="AB30" s="1040" t="s">
        <v>143</v>
      </c>
      <c r="AC30" s="1228" t="s">
        <v>143</v>
      </c>
      <c r="AD30" s="1228" t="s">
        <v>143</v>
      </c>
      <c r="AE30" s="1040">
        <v>11</v>
      </c>
      <c r="AF30" s="1040" t="s">
        <v>152</v>
      </c>
      <c r="AG30" s="1108" t="s">
        <v>152</v>
      </c>
      <c r="AH30" s="1039" t="s">
        <v>143</v>
      </c>
      <c r="AI30" s="1040" t="s">
        <v>143</v>
      </c>
      <c r="AJ30" s="1040" t="s">
        <v>143</v>
      </c>
      <c r="AK30" s="1040">
        <v>4</v>
      </c>
      <c r="AL30" s="1040" t="s">
        <v>152</v>
      </c>
      <c r="AM30" s="1228" t="s">
        <v>152</v>
      </c>
      <c r="AN30" s="1040" t="s">
        <v>143</v>
      </c>
      <c r="AO30" s="1040" t="s">
        <v>143</v>
      </c>
      <c r="AP30" s="1228">
        <v>7</v>
      </c>
      <c r="AQ30" s="1228">
        <v>5</v>
      </c>
      <c r="AR30" s="1040">
        <v>1265614</v>
      </c>
      <c r="AS30" s="1229">
        <v>483.1</v>
      </c>
      <c r="AT30" s="1108">
        <v>1224638</v>
      </c>
      <c r="AU30" s="1107">
        <v>16</v>
      </c>
      <c r="AV30" s="1040" t="s">
        <v>143</v>
      </c>
      <c r="AW30" s="1040">
        <v>1</v>
      </c>
      <c r="AX30" s="1228">
        <v>10</v>
      </c>
      <c r="AY30" s="1040">
        <v>4</v>
      </c>
      <c r="AZ30" s="1040" t="s">
        <v>143</v>
      </c>
      <c r="BA30" s="1040" t="s">
        <v>143</v>
      </c>
      <c r="BB30" s="1040">
        <v>1</v>
      </c>
      <c r="BC30" s="1040" t="s">
        <v>143</v>
      </c>
      <c r="BD30" s="1040" t="s">
        <v>143</v>
      </c>
      <c r="BE30" s="1108">
        <v>56</v>
      </c>
      <c r="BF30" s="1180"/>
      <c r="BG30" s="1039">
        <v>7</v>
      </c>
      <c r="BH30" s="1040">
        <v>18961</v>
      </c>
      <c r="BI30" s="1040" t="s">
        <v>143</v>
      </c>
      <c r="BJ30" s="1228" t="s">
        <v>143</v>
      </c>
      <c r="BK30" s="1040">
        <v>1</v>
      </c>
      <c r="BL30" s="1040">
        <v>1</v>
      </c>
      <c r="BM30" s="1040">
        <v>24600</v>
      </c>
      <c r="BN30" s="1040">
        <v>2</v>
      </c>
      <c r="BO30" s="1040">
        <v>1391</v>
      </c>
      <c r="BP30" s="1040">
        <v>4</v>
      </c>
      <c r="BQ30" s="1108">
        <v>24</v>
      </c>
      <c r="BR30" s="1180"/>
      <c r="BS30" s="1259">
        <v>5</v>
      </c>
      <c r="BT30" s="1260">
        <v>3162</v>
      </c>
      <c r="BU30" s="1261"/>
      <c r="BV30" s="1039" t="s">
        <v>143</v>
      </c>
      <c r="BW30" s="1040" t="s">
        <v>143</v>
      </c>
      <c r="BX30" s="1040" t="s">
        <v>143</v>
      </c>
      <c r="BY30" s="1107">
        <v>82</v>
      </c>
      <c r="BZ30" s="1040">
        <v>3640</v>
      </c>
      <c r="CA30" s="1040">
        <v>3230</v>
      </c>
      <c r="CB30" s="1107" t="s">
        <v>143</v>
      </c>
      <c r="CC30" s="1040" t="s">
        <v>143</v>
      </c>
      <c r="CD30" s="1108" t="s">
        <v>143</v>
      </c>
      <c r="CE30" s="1180"/>
      <c r="CF30" s="1039">
        <v>350</v>
      </c>
      <c r="CG30" s="1040">
        <v>123</v>
      </c>
      <c r="CH30" s="1040">
        <v>11</v>
      </c>
      <c r="CI30" s="1040">
        <v>11</v>
      </c>
      <c r="CJ30" s="1040">
        <v>4</v>
      </c>
      <c r="CK30" s="1228">
        <v>6</v>
      </c>
      <c r="CL30" s="1228">
        <v>9</v>
      </c>
      <c r="CM30" s="1040">
        <v>51</v>
      </c>
      <c r="CN30" s="1228">
        <v>9823</v>
      </c>
      <c r="CO30" s="1228">
        <v>211</v>
      </c>
      <c r="CP30" s="1228">
        <v>435</v>
      </c>
      <c r="CQ30" s="1108">
        <v>220</v>
      </c>
      <c r="CR30" s="1180"/>
      <c r="CS30" s="1039">
        <v>61</v>
      </c>
      <c r="CT30" s="1228">
        <v>17</v>
      </c>
      <c r="CU30" s="1228">
        <v>5</v>
      </c>
      <c r="CV30" s="1228">
        <v>4</v>
      </c>
      <c r="CW30" s="1228">
        <v>5</v>
      </c>
      <c r="CX30" s="1232">
        <v>30</v>
      </c>
      <c r="CY30" s="1232" t="s">
        <v>143</v>
      </c>
      <c r="CZ30" s="1040">
        <v>924776</v>
      </c>
      <c r="DA30" s="1108">
        <v>8301</v>
      </c>
    </row>
    <row r="31" spans="1:105" s="1078" customFormat="1" ht="15.75" customHeight="1" x14ac:dyDescent="0.2">
      <c r="A31" s="1093" t="s">
        <v>178</v>
      </c>
      <c r="B31" s="1098" t="s">
        <v>143</v>
      </c>
      <c r="C31" s="1219" t="s">
        <v>143</v>
      </c>
      <c r="D31" s="1027" t="s">
        <v>143</v>
      </c>
      <c r="E31" s="1094">
        <v>24</v>
      </c>
      <c r="F31" s="1094" t="s">
        <v>143</v>
      </c>
      <c r="G31" s="1094">
        <v>1656</v>
      </c>
      <c r="H31" s="1094" t="s">
        <v>143</v>
      </c>
      <c r="I31" s="1175">
        <v>190</v>
      </c>
      <c r="J31" s="1038">
        <v>27</v>
      </c>
      <c r="K31" s="1027">
        <v>7864</v>
      </c>
      <c r="L31" s="1219">
        <v>598</v>
      </c>
      <c r="M31" s="1027">
        <v>3</v>
      </c>
      <c r="N31" s="1027">
        <v>1497</v>
      </c>
      <c r="O31" s="1027">
        <v>84</v>
      </c>
      <c r="P31" s="1219">
        <v>13</v>
      </c>
      <c r="Q31" s="1027">
        <v>4016</v>
      </c>
      <c r="R31" s="1027">
        <v>328</v>
      </c>
      <c r="S31" s="1027">
        <v>5</v>
      </c>
      <c r="T31" s="1027">
        <v>913</v>
      </c>
      <c r="U31" s="1117">
        <v>84</v>
      </c>
      <c r="V31" s="1258" t="s">
        <v>143</v>
      </c>
      <c r="W31" s="1255" t="s">
        <v>143</v>
      </c>
      <c r="X31" s="1255" t="s">
        <v>143</v>
      </c>
      <c r="Y31" s="1255" t="s">
        <v>143</v>
      </c>
      <c r="Z31" s="1255" t="s">
        <v>143</v>
      </c>
      <c r="AA31" s="1255" t="s">
        <v>143</v>
      </c>
      <c r="AB31" s="1027">
        <v>1</v>
      </c>
      <c r="AC31" s="1027">
        <v>771</v>
      </c>
      <c r="AD31" s="1219">
        <v>67</v>
      </c>
      <c r="AE31" s="1219">
        <v>11</v>
      </c>
      <c r="AF31" s="1027">
        <v>8179</v>
      </c>
      <c r="AG31" s="1117">
        <v>544</v>
      </c>
      <c r="AH31" s="1038" t="s">
        <v>143</v>
      </c>
      <c r="AI31" s="1027" t="s">
        <v>143</v>
      </c>
      <c r="AJ31" s="1027" t="s">
        <v>143</v>
      </c>
      <c r="AK31" s="1027">
        <v>2</v>
      </c>
      <c r="AL31" s="1174">
        <v>359</v>
      </c>
      <c r="AM31" s="1219">
        <v>69</v>
      </c>
      <c r="AN31" s="1042" t="s">
        <v>143</v>
      </c>
      <c r="AO31" s="1262" t="s">
        <v>143</v>
      </c>
      <c r="AP31" s="1174">
        <v>6</v>
      </c>
      <c r="AQ31" s="1219">
        <v>1</v>
      </c>
      <c r="AR31" s="1027">
        <v>391574</v>
      </c>
      <c r="AS31" s="1222">
        <v>209.2</v>
      </c>
      <c r="AT31" s="1117">
        <v>442603</v>
      </c>
      <c r="AU31" s="1094">
        <v>5</v>
      </c>
      <c r="AV31" s="1027">
        <v>1</v>
      </c>
      <c r="AW31" s="1027">
        <v>1</v>
      </c>
      <c r="AX31" s="1027">
        <v>1</v>
      </c>
      <c r="AY31" s="1027">
        <v>1</v>
      </c>
      <c r="AZ31" s="1027" t="s">
        <v>143</v>
      </c>
      <c r="BA31" s="1027">
        <v>1</v>
      </c>
      <c r="BB31" s="1027" t="s">
        <v>143</v>
      </c>
      <c r="BC31" s="1027" t="s">
        <v>143</v>
      </c>
      <c r="BD31" s="1027" t="s">
        <v>143</v>
      </c>
      <c r="BE31" s="1117">
        <v>9</v>
      </c>
      <c r="BF31" s="1180"/>
      <c r="BG31" s="1038">
        <v>1</v>
      </c>
      <c r="BH31" s="1027">
        <v>1116</v>
      </c>
      <c r="BI31" s="1027">
        <v>1</v>
      </c>
      <c r="BJ31" s="1219">
        <v>24958</v>
      </c>
      <c r="BK31" s="1027">
        <v>1</v>
      </c>
      <c r="BL31" s="1027">
        <v>1</v>
      </c>
      <c r="BM31" s="1027">
        <v>20930</v>
      </c>
      <c r="BN31" s="1027">
        <v>2</v>
      </c>
      <c r="BO31" s="1027">
        <v>1268</v>
      </c>
      <c r="BP31" s="1027">
        <v>2</v>
      </c>
      <c r="BQ31" s="1117">
        <v>14</v>
      </c>
      <c r="BR31" s="1180"/>
      <c r="BS31" s="1263">
        <v>1</v>
      </c>
      <c r="BT31" s="1264">
        <v>2000</v>
      </c>
      <c r="BU31" s="1261"/>
      <c r="BV31" s="1038">
        <v>26</v>
      </c>
      <c r="BW31" s="1027">
        <v>1500</v>
      </c>
      <c r="BX31" s="1027">
        <v>1481</v>
      </c>
      <c r="BY31" s="1094" t="s">
        <v>143</v>
      </c>
      <c r="BZ31" s="1094" t="s">
        <v>143</v>
      </c>
      <c r="CA31" s="1094" t="s">
        <v>143</v>
      </c>
      <c r="CB31" s="1094">
        <v>11</v>
      </c>
      <c r="CC31" s="1094">
        <v>430</v>
      </c>
      <c r="CD31" s="1117">
        <v>353</v>
      </c>
      <c r="CE31" s="1180"/>
      <c r="CF31" s="1038">
        <v>221</v>
      </c>
      <c r="CG31" s="1027">
        <v>38</v>
      </c>
      <c r="CH31" s="1027">
        <v>6</v>
      </c>
      <c r="CI31" s="1027">
        <v>6</v>
      </c>
      <c r="CJ31" s="1027">
        <v>2</v>
      </c>
      <c r="CK31" s="1219" t="s">
        <v>143</v>
      </c>
      <c r="CL31" s="1257">
        <v>6</v>
      </c>
      <c r="CM31" s="1027">
        <v>61</v>
      </c>
      <c r="CN31" s="1219">
        <v>10465</v>
      </c>
      <c r="CO31" s="1219">
        <v>95</v>
      </c>
      <c r="CP31" s="1219">
        <v>118</v>
      </c>
      <c r="CQ31" s="1117">
        <v>60</v>
      </c>
      <c r="CR31" s="1180"/>
      <c r="CS31" s="1038">
        <v>42</v>
      </c>
      <c r="CT31" s="1219">
        <v>10</v>
      </c>
      <c r="CU31" s="1219">
        <v>3</v>
      </c>
      <c r="CV31" s="1219">
        <v>1</v>
      </c>
      <c r="CW31" s="1219">
        <v>16</v>
      </c>
      <c r="CX31" s="1226">
        <v>12</v>
      </c>
      <c r="CY31" s="1226">
        <v>0</v>
      </c>
      <c r="CZ31" s="1027">
        <v>564602</v>
      </c>
      <c r="DA31" s="1117">
        <v>11755</v>
      </c>
    </row>
    <row r="32" spans="1:105" s="1078" customFormat="1" ht="15.75" customHeight="1" x14ac:dyDescent="0.2">
      <c r="A32" s="1106" t="s">
        <v>179</v>
      </c>
      <c r="B32" s="1039" t="s">
        <v>143</v>
      </c>
      <c r="C32" s="1107" t="s">
        <v>143</v>
      </c>
      <c r="D32" s="1107" t="s">
        <v>143</v>
      </c>
      <c r="E32" s="1119">
        <v>23</v>
      </c>
      <c r="F32" s="1107">
        <v>3</v>
      </c>
      <c r="G32" s="1119">
        <v>2804</v>
      </c>
      <c r="H32" s="1107">
        <v>295</v>
      </c>
      <c r="I32" s="1034">
        <v>252</v>
      </c>
      <c r="J32" s="1036">
        <v>54</v>
      </c>
      <c r="K32" s="1032">
        <v>18473</v>
      </c>
      <c r="L32" s="1032">
        <v>1280</v>
      </c>
      <c r="M32" s="1040">
        <v>3</v>
      </c>
      <c r="N32" s="1040">
        <v>689</v>
      </c>
      <c r="O32" s="1040">
        <v>47</v>
      </c>
      <c r="P32" s="1033">
        <v>25</v>
      </c>
      <c r="Q32" s="1032">
        <v>9095</v>
      </c>
      <c r="R32" s="1032">
        <v>839</v>
      </c>
      <c r="S32" s="1032">
        <v>5</v>
      </c>
      <c r="T32" s="1032">
        <v>1078</v>
      </c>
      <c r="U32" s="1034">
        <v>91</v>
      </c>
      <c r="V32" s="1107" t="s">
        <v>143</v>
      </c>
      <c r="W32" s="1228" t="s">
        <v>143</v>
      </c>
      <c r="X32" s="1228" t="s">
        <v>143</v>
      </c>
      <c r="Y32" s="1040" t="s">
        <v>143</v>
      </c>
      <c r="Z32" s="1228" t="s">
        <v>143</v>
      </c>
      <c r="AA32" s="1228" t="s">
        <v>143</v>
      </c>
      <c r="AB32" s="1040">
        <v>1</v>
      </c>
      <c r="AC32" s="1228">
        <v>477</v>
      </c>
      <c r="AD32" s="1228">
        <v>72</v>
      </c>
      <c r="AE32" s="1032">
        <v>13</v>
      </c>
      <c r="AF32" s="1032">
        <v>9430</v>
      </c>
      <c r="AG32" s="1245">
        <v>895</v>
      </c>
      <c r="AH32" s="1039" t="s">
        <v>143</v>
      </c>
      <c r="AI32" s="1040" t="s">
        <v>143</v>
      </c>
      <c r="AJ32" s="1040" t="s">
        <v>143</v>
      </c>
      <c r="AK32" s="1032">
        <v>6</v>
      </c>
      <c r="AL32" s="1032">
        <v>1026</v>
      </c>
      <c r="AM32" s="1244">
        <v>74</v>
      </c>
      <c r="AN32" s="1032" t="s">
        <v>143</v>
      </c>
      <c r="AO32" s="1032" t="s">
        <v>143</v>
      </c>
      <c r="AP32" s="1033">
        <v>5</v>
      </c>
      <c r="AQ32" s="1228">
        <v>2</v>
      </c>
      <c r="AR32" s="1040">
        <v>1061761</v>
      </c>
      <c r="AS32" s="1229">
        <v>283.91533033310071</v>
      </c>
      <c r="AT32" s="1108">
        <v>1574185</v>
      </c>
      <c r="AU32" s="1119">
        <v>15</v>
      </c>
      <c r="AV32" s="1040">
        <v>2</v>
      </c>
      <c r="AW32" s="1040">
        <v>1</v>
      </c>
      <c r="AX32" s="1228">
        <v>6</v>
      </c>
      <c r="AY32" s="1040">
        <v>6</v>
      </c>
      <c r="AZ32" s="1040" t="s">
        <v>143</v>
      </c>
      <c r="BA32" s="1040">
        <v>1</v>
      </c>
      <c r="BB32" s="1040" t="s">
        <v>143</v>
      </c>
      <c r="BC32" s="1040" t="s">
        <v>143</v>
      </c>
      <c r="BD32" s="1040" t="s">
        <v>143</v>
      </c>
      <c r="BE32" s="1108">
        <v>25</v>
      </c>
      <c r="BF32" s="1180"/>
      <c r="BG32" s="1039">
        <v>4</v>
      </c>
      <c r="BH32" s="1040">
        <v>36079.47</v>
      </c>
      <c r="BI32" s="1040">
        <v>2</v>
      </c>
      <c r="BJ32" s="1228">
        <v>42944</v>
      </c>
      <c r="BK32" s="1040">
        <v>1</v>
      </c>
      <c r="BL32" s="1040">
        <v>1</v>
      </c>
      <c r="BM32" s="1040">
        <v>37900</v>
      </c>
      <c r="BN32" s="1040">
        <v>8</v>
      </c>
      <c r="BO32" s="1040">
        <v>9759</v>
      </c>
      <c r="BP32" s="1040">
        <v>15</v>
      </c>
      <c r="BQ32" s="1108">
        <v>62</v>
      </c>
      <c r="BR32" s="1180"/>
      <c r="BS32" s="1230">
        <v>8</v>
      </c>
      <c r="BT32" s="1231">
        <v>1292</v>
      </c>
      <c r="BU32" s="1225"/>
      <c r="BV32" s="1039" t="s">
        <v>143</v>
      </c>
      <c r="BW32" s="1040" t="s">
        <v>143</v>
      </c>
      <c r="BX32" s="1040" t="s">
        <v>143</v>
      </c>
      <c r="BY32" s="1107">
        <v>88</v>
      </c>
      <c r="BZ32" s="1040">
        <v>12169</v>
      </c>
      <c r="CA32" s="1040">
        <v>8539</v>
      </c>
      <c r="CB32" s="1107">
        <v>2</v>
      </c>
      <c r="CC32" s="1040">
        <v>45</v>
      </c>
      <c r="CD32" s="1108">
        <v>46</v>
      </c>
      <c r="CE32" s="1180"/>
      <c r="CF32" s="1039">
        <v>486</v>
      </c>
      <c r="CG32" s="1040">
        <v>96</v>
      </c>
      <c r="CH32" s="1040">
        <v>25</v>
      </c>
      <c r="CI32" s="1040">
        <v>25</v>
      </c>
      <c r="CJ32" s="1040">
        <v>6</v>
      </c>
      <c r="CK32" s="1228">
        <v>11</v>
      </c>
      <c r="CL32" s="1228">
        <v>1</v>
      </c>
      <c r="CM32" s="1040">
        <v>135</v>
      </c>
      <c r="CN32" s="1228">
        <v>20008</v>
      </c>
      <c r="CO32" s="1228">
        <v>176</v>
      </c>
      <c r="CP32" s="1228">
        <v>305</v>
      </c>
      <c r="CQ32" s="1108">
        <v>249</v>
      </c>
      <c r="CR32" s="1180"/>
      <c r="CS32" s="1039">
        <v>337</v>
      </c>
      <c r="CT32" s="1228">
        <v>64</v>
      </c>
      <c r="CU32" s="1228">
        <v>25</v>
      </c>
      <c r="CV32" s="1228">
        <v>124</v>
      </c>
      <c r="CW32" s="1228">
        <v>35</v>
      </c>
      <c r="CX32" s="1232">
        <v>89</v>
      </c>
      <c r="CY32" s="1232" t="s">
        <v>143</v>
      </c>
      <c r="CZ32" s="1040">
        <v>1576076</v>
      </c>
      <c r="DA32" s="1108">
        <v>46353</v>
      </c>
    </row>
    <row r="33" spans="1:105" s="1078" customFormat="1" ht="15.75" customHeight="1" x14ac:dyDescent="0.2">
      <c r="A33" s="1093" t="s">
        <v>252</v>
      </c>
      <c r="B33" s="1037">
        <v>3</v>
      </c>
      <c r="C33" s="1126">
        <v>184</v>
      </c>
      <c r="D33" s="1126">
        <v>24</v>
      </c>
      <c r="E33" s="1126">
        <v>8</v>
      </c>
      <c r="F33" s="1126">
        <v>4</v>
      </c>
      <c r="G33" s="1126">
        <v>1256</v>
      </c>
      <c r="H33" s="1126">
        <v>1062</v>
      </c>
      <c r="I33" s="1030">
        <v>123</v>
      </c>
      <c r="J33" s="1037">
        <v>29</v>
      </c>
      <c r="K33" s="1028">
        <v>12355</v>
      </c>
      <c r="L33" s="1028">
        <v>908</v>
      </c>
      <c r="M33" s="1028">
        <v>2</v>
      </c>
      <c r="N33" s="1028">
        <v>673</v>
      </c>
      <c r="O33" s="1028">
        <v>46</v>
      </c>
      <c r="P33" s="1029">
        <v>22</v>
      </c>
      <c r="Q33" s="1028">
        <v>5831</v>
      </c>
      <c r="R33" s="1028">
        <v>560</v>
      </c>
      <c r="S33" s="1028">
        <v>4</v>
      </c>
      <c r="T33" s="1028">
        <v>1306</v>
      </c>
      <c r="U33" s="1030">
        <v>115</v>
      </c>
      <c r="V33" s="1126" t="s">
        <v>143</v>
      </c>
      <c r="W33" s="1029" t="s">
        <v>143</v>
      </c>
      <c r="X33" s="1029" t="s">
        <v>143</v>
      </c>
      <c r="Y33" s="1028" t="s">
        <v>143</v>
      </c>
      <c r="Z33" s="1029" t="s">
        <v>143</v>
      </c>
      <c r="AA33" s="1029" t="s">
        <v>143</v>
      </c>
      <c r="AB33" s="1028" t="s">
        <v>143</v>
      </c>
      <c r="AC33" s="1029" t="s">
        <v>143</v>
      </c>
      <c r="AD33" s="1029" t="s">
        <v>143</v>
      </c>
      <c r="AE33" s="1028">
        <v>11</v>
      </c>
      <c r="AF33" s="1028">
        <v>7782</v>
      </c>
      <c r="AG33" s="1030">
        <v>617</v>
      </c>
      <c r="AH33" s="1037" t="s">
        <v>143</v>
      </c>
      <c r="AI33" s="1028" t="s">
        <v>143</v>
      </c>
      <c r="AJ33" s="1028" t="s">
        <v>143</v>
      </c>
      <c r="AK33" s="1028">
        <v>3</v>
      </c>
      <c r="AL33" s="1028">
        <v>1736</v>
      </c>
      <c r="AM33" s="1029">
        <v>109</v>
      </c>
      <c r="AN33" s="1028" t="s">
        <v>143</v>
      </c>
      <c r="AO33" s="1028" t="s">
        <v>143</v>
      </c>
      <c r="AP33" s="1029">
        <v>4</v>
      </c>
      <c r="AQ33" s="1029">
        <v>11</v>
      </c>
      <c r="AR33" s="1028">
        <v>1269412</v>
      </c>
      <c r="AS33" s="1237">
        <v>533.70000000000005</v>
      </c>
      <c r="AT33" s="1030">
        <v>1466951</v>
      </c>
      <c r="AU33" s="1126">
        <f>SUM(AV33:BD33)</f>
        <v>27</v>
      </c>
      <c r="AV33" s="1028">
        <v>1</v>
      </c>
      <c r="AW33" s="1028">
        <v>5</v>
      </c>
      <c r="AX33" s="1029">
        <v>14</v>
      </c>
      <c r="AY33" s="1028">
        <v>6</v>
      </c>
      <c r="AZ33" s="1028">
        <v>0</v>
      </c>
      <c r="BA33" s="1028">
        <v>1</v>
      </c>
      <c r="BB33" s="1028">
        <v>0</v>
      </c>
      <c r="BC33" s="1028">
        <v>0</v>
      </c>
      <c r="BD33" s="1028">
        <v>0</v>
      </c>
      <c r="BE33" s="1030">
        <v>36</v>
      </c>
      <c r="BF33" s="1180"/>
      <c r="BG33" s="1037">
        <v>25</v>
      </c>
      <c r="BH33" s="1028">
        <v>43208.7</v>
      </c>
      <c r="BI33" s="1028">
        <v>0</v>
      </c>
      <c r="BJ33" s="1029">
        <v>0</v>
      </c>
      <c r="BK33" s="1028">
        <v>2</v>
      </c>
      <c r="BL33" s="1028">
        <v>2</v>
      </c>
      <c r="BM33" s="1028">
        <f>42000+13256</f>
        <v>55256</v>
      </c>
      <c r="BN33" s="1028">
        <v>5</v>
      </c>
      <c r="BO33" s="1028">
        <v>3158</v>
      </c>
      <c r="BP33" s="1028">
        <v>8</v>
      </c>
      <c r="BQ33" s="1030">
        <v>48</v>
      </c>
      <c r="BR33" s="1180"/>
      <c r="BS33" s="1238">
        <v>8</v>
      </c>
      <c r="BT33" s="1239">
        <v>1800</v>
      </c>
      <c r="BU33" s="1225"/>
      <c r="BV33" s="1037">
        <v>1</v>
      </c>
      <c r="BW33" s="1028">
        <v>125</v>
      </c>
      <c r="BX33" s="1028">
        <v>165</v>
      </c>
      <c r="BY33" s="1126">
        <v>28</v>
      </c>
      <c r="BZ33" s="1028">
        <v>2885</v>
      </c>
      <c r="CA33" s="1028">
        <v>2995</v>
      </c>
      <c r="CB33" s="1126">
        <v>12</v>
      </c>
      <c r="CC33" s="1028">
        <v>474</v>
      </c>
      <c r="CD33" s="1030">
        <v>361</v>
      </c>
      <c r="CE33" s="1180"/>
      <c r="CF33" s="1037">
        <v>227</v>
      </c>
      <c r="CG33" s="1028">
        <v>43</v>
      </c>
      <c r="CH33" s="1028">
        <v>8</v>
      </c>
      <c r="CI33" s="1028">
        <v>8</v>
      </c>
      <c r="CJ33" s="1028">
        <v>5</v>
      </c>
      <c r="CK33" s="1029">
        <v>0</v>
      </c>
      <c r="CL33" s="1029">
        <v>4</v>
      </c>
      <c r="CM33" s="1028">
        <v>77</v>
      </c>
      <c r="CN33" s="1029">
        <v>10754</v>
      </c>
      <c r="CO33" s="1029">
        <v>96</v>
      </c>
      <c r="CP33" s="1029">
        <v>217</v>
      </c>
      <c r="CQ33" s="1030">
        <v>156</v>
      </c>
      <c r="CR33" s="1180"/>
      <c r="CS33" s="1037">
        <v>179</v>
      </c>
      <c r="CT33" s="1029">
        <v>39</v>
      </c>
      <c r="CU33" s="1029">
        <v>13</v>
      </c>
      <c r="CV33" s="1029">
        <v>55</v>
      </c>
      <c r="CW33" s="1029">
        <v>14</v>
      </c>
      <c r="CX33" s="1240">
        <v>58</v>
      </c>
      <c r="CY33" s="1240">
        <v>0</v>
      </c>
      <c r="CZ33" s="1028">
        <v>1018728.2</v>
      </c>
      <c r="DA33" s="1030">
        <v>42878.69</v>
      </c>
    </row>
    <row r="34" spans="1:105" s="1078" customFormat="1" ht="15.75" customHeight="1" x14ac:dyDescent="0.2">
      <c r="A34" s="1106" t="s">
        <v>181</v>
      </c>
      <c r="B34" s="1036">
        <v>2</v>
      </c>
      <c r="C34" s="1119">
        <v>151</v>
      </c>
      <c r="D34" s="1119">
        <v>15</v>
      </c>
      <c r="E34" s="1119">
        <v>32</v>
      </c>
      <c r="F34" s="1119" t="s">
        <v>143</v>
      </c>
      <c r="G34" s="1119">
        <v>5931</v>
      </c>
      <c r="H34" s="1119">
        <v>3673</v>
      </c>
      <c r="I34" s="1265">
        <v>654</v>
      </c>
      <c r="J34" s="1036">
        <v>46</v>
      </c>
      <c r="K34" s="1032">
        <v>19875</v>
      </c>
      <c r="L34" s="1033">
        <v>1653</v>
      </c>
      <c r="M34" s="1032">
        <v>1</v>
      </c>
      <c r="N34" s="1032">
        <v>370</v>
      </c>
      <c r="O34" s="1032">
        <v>38</v>
      </c>
      <c r="P34" s="1033">
        <v>22</v>
      </c>
      <c r="Q34" s="1032">
        <v>9903</v>
      </c>
      <c r="R34" s="1032">
        <v>841</v>
      </c>
      <c r="S34" s="1032">
        <v>4</v>
      </c>
      <c r="T34" s="1032">
        <v>730</v>
      </c>
      <c r="U34" s="1034">
        <v>160</v>
      </c>
      <c r="V34" s="1119" t="s">
        <v>143</v>
      </c>
      <c r="W34" s="1033" t="s">
        <v>143</v>
      </c>
      <c r="X34" s="1033" t="s">
        <v>143</v>
      </c>
      <c r="Y34" s="1033">
        <v>1</v>
      </c>
      <c r="Z34" s="1033">
        <v>1075</v>
      </c>
      <c r="AA34" s="1033">
        <v>56</v>
      </c>
      <c r="AB34" s="1032">
        <v>1</v>
      </c>
      <c r="AC34" s="1033">
        <v>476</v>
      </c>
      <c r="AD34" s="1033">
        <v>44</v>
      </c>
      <c r="AE34" s="1032">
        <v>16</v>
      </c>
      <c r="AF34" s="1032">
        <v>14021</v>
      </c>
      <c r="AG34" s="1034">
        <v>1489</v>
      </c>
      <c r="AH34" s="1036" t="s">
        <v>143</v>
      </c>
      <c r="AI34" s="1032" t="s">
        <v>143</v>
      </c>
      <c r="AJ34" s="1032" t="s">
        <v>143</v>
      </c>
      <c r="AK34" s="1032">
        <v>6</v>
      </c>
      <c r="AL34" s="1032">
        <v>2644</v>
      </c>
      <c r="AM34" s="1033">
        <v>248</v>
      </c>
      <c r="AN34" s="1033">
        <v>1</v>
      </c>
      <c r="AO34" s="1033">
        <v>1</v>
      </c>
      <c r="AP34" s="1033">
        <v>1</v>
      </c>
      <c r="AQ34" s="1033">
        <v>7</v>
      </c>
      <c r="AR34" s="1032">
        <v>815304</v>
      </c>
      <c r="AS34" s="1233">
        <v>199.8</v>
      </c>
      <c r="AT34" s="1034">
        <v>2295180</v>
      </c>
      <c r="AU34" s="1119">
        <v>4</v>
      </c>
      <c r="AV34" s="1032" t="s">
        <v>143</v>
      </c>
      <c r="AW34" s="1033">
        <v>1</v>
      </c>
      <c r="AX34" s="1032">
        <v>2</v>
      </c>
      <c r="AY34" s="1032">
        <v>1</v>
      </c>
      <c r="AZ34" s="1033" t="s">
        <v>143</v>
      </c>
      <c r="BA34" s="1033" t="s">
        <v>143</v>
      </c>
      <c r="BB34" s="1033" t="s">
        <v>143</v>
      </c>
      <c r="BC34" s="1033" t="s">
        <v>143</v>
      </c>
      <c r="BD34" s="1033" t="s">
        <v>143</v>
      </c>
      <c r="BE34" s="1034">
        <v>50</v>
      </c>
      <c r="BF34" s="1180"/>
      <c r="BG34" s="1036">
        <v>11</v>
      </c>
      <c r="BH34" s="1032">
        <v>29813</v>
      </c>
      <c r="BI34" s="1032" t="s">
        <v>143</v>
      </c>
      <c r="BJ34" s="1033" t="s">
        <v>143</v>
      </c>
      <c r="BK34" s="1032">
        <v>3</v>
      </c>
      <c r="BL34" s="1032">
        <v>3</v>
      </c>
      <c r="BM34" s="1032">
        <v>34800</v>
      </c>
      <c r="BN34" s="1032">
        <v>3</v>
      </c>
      <c r="BO34" s="1032">
        <v>2008</v>
      </c>
      <c r="BP34" s="1032">
        <v>7</v>
      </c>
      <c r="BQ34" s="1034">
        <v>33</v>
      </c>
      <c r="BR34" s="1180"/>
      <c r="BS34" s="1234">
        <v>4</v>
      </c>
      <c r="BT34" s="1266">
        <v>5430</v>
      </c>
      <c r="BU34" s="1225"/>
      <c r="BV34" s="1036" t="s">
        <v>143</v>
      </c>
      <c r="BW34" s="1033" t="s">
        <v>143</v>
      </c>
      <c r="BX34" s="1033" t="s">
        <v>143</v>
      </c>
      <c r="BY34" s="1033">
        <v>121</v>
      </c>
      <c r="BZ34" s="1033">
        <v>3637</v>
      </c>
      <c r="CA34" s="1032">
        <v>3390</v>
      </c>
      <c r="CB34" s="1032" t="s">
        <v>143</v>
      </c>
      <c r="CC34" s="1032" t="s">
        <v>143</v>
      </c>
      <c r="CD34" s="1034" t="s">
        <v>143</v>
      </c>
      <c r="CE34" s="1180"/>
      <c r="CF34" s="1036">
        <v>657</v>
      </c>
      <c r="CG34" s="1032">
        <v>95</v>
      </c>
      <c r="CH34" s="1032">
        <v>26</v>
      </c>
      <c r="CI34" s="1032">
        <v>26</v>
      </c>
      <c r="CJ34" s="1032">
        <v>6</v>
      </c>
      <c r="CK34" s="1033">
        <v>15</v>
      </c>
      <c r="CL34" s="1033" t="s">
        <v>143</v>
      </c>
      <c r="CM34" s="1032">
        <v>143</v>
      </c>
      <c r="CN34" s="1033">
        <v>25224</v>
      </c>
      <c r="CO34" s="1033">
        <v>413</v>
      </c>
      <c r="CP34" s="1033">
        <v>532</v>
      </c>
      <c r="CQ34" s="1034">
        <v>254</v>
      </c>
      <c r="CR34" s="1180"/>
      <c r="CS34" s="1036">
        <f>SUM(CT34:CY34)</f>
        <v>103</v>
      </c>
      <c r="CT34" s="1033">
        <v>18</v>
      </c>
      <c r="CU34" s="1033">
        <v>5</v>
      </c>
      <c r="CV34" s="1033">
        <v>23</v>
      </c>
      <c r="CW34" s="1033">
        <v>27</v>
      </c>
      <c r="CX34" s="1236">
        <v>30</v>
      </c>
      <c r="CY34" s="1236" t="s">
        <v>143</v>
      </c>
      <c r="CZ34" s="1032">
        <v>1247220</v>
      </c>
      <c r="DA34" s="1034">
        <v>42325</v>
      </c>
    </row>
    <row r="35" spans="1:105" s="1078" customFormat="1" ht="15.75" customHeight="1" x14ac:dyDescent="0.2">
      <c r="A35" s="1093" t="s">
        <v>182</v>
      </c>
      <c r="B35" s="1037">
        <v>0</v>
      </c>
      <c r="C35" s="1126">
        <v>0</v>
      </c>
      <c r="D35" s="1126">
        <v>0</v>
      </c>
      <c r="E35" s="1126">
        <v>21</v>
      </c>
      <c r="F35" s="1126">
        <v>20</v>
      </c>
      <c r="G35" s="1126">
        <v>2481</v>
      </c>
      <c r="H35" s="1126">
        <v>122</v>
      </c>
      <c r="I35" s="1089">
        <v>219</v>
      </c>
      <c r="J35" s="1037">
        <v>52</v>
      </c>
      <c r="K35" s="1028">
        <v>20743</v>
      </c>
      <c r="L35" s="1029">
        <v>1364</v>
      </c>
      <c r="M35" s="1028" t="s">
        <v>143</v>
      </c>
      <c r="N35" s="1028" t="s">
        <v>143</v>
      </c>
      <c r="O35" s="1028" t="s">
        <v>143</v>
      </c>
      <c r="P35" s="1029">
        <v>22</v>
      </c>
      <c r="Q35" s="1028">
        <v>10323</v>
      </c>
      <c r="R35" s="1028">
        <v>774</v>
      </c>
      <c r="S35" s="1028">
        <v>1</v>
      </c>
      <c r="T35" s="1028">
        <v>216</v>
      </c>
      <c r="U35" s="1030">
        <v>16</v>
      </c>
      <c r="V35" s="1126" t="s">
        <v>143</v>
      </c>
      <c r="W35" s="1029" t="s">
        <v>143</v>
      </c>
      <c r="X35" s="1029" t="s">
        <v>143</v>
      </c>
      <c r="Y35" s="1028" t="s">
        <v>143</v>
      </c>
      <c r="Z35" s="1029" t="s">
        <v>143</v>
      </c>
      <c r="AA35" s="1029" t="s">
        <v>143</v>
      </c>
      <c r="AB35" s="1028" t="s">
        <v>143</v>
      </c>
      <c r="AC35" s="1029" t="s">
        <v>143</v>
      </c>
      <c r="AD35" s="1029" t="s">
        <v>143</v>
      </c>
      <c r="AE35" s="1028">
        <v>10</v>
      </c>
      <c r="AF35" s="1028">
        <v>9138</v>
      </c>
      <c r="AG35" s="1030">
        <v>602</v>
      </c>
      <c r="AH35" s="1037">
        <v>1</v>
      </c>
      <c r="AI35" s="1028">
        <v>651</v>
      </c>
      <c r="AJ35" s="1028">
        <v>77</v>
      </c>
      <c r="AK35" s="1028">
        <v>1</v>
      </c>
      <c r="AL35" s="1028">
        <v>129</v>
      </c>
      <c r="AM35" s="1029">
        <v>14</v>
      </c>
      <c r="AN35" s="1028" t="s">
        <v>143</v>
      </c>
      <c r="AO35" s="1028" t="s">
        <v>143</v>
      </c>
      <c r="AP35" s="1029">
        <v>3</v>
      </c>
      <c r="AQ35" s="1029">
        <v>3</v>
      </c>
      <c r="AR35" s="1028">
        <v>1031132</v>
      </c>
      <c r="AS35" s="1237">
        <v>274.13443362994195</v>
      </c>
      <c r="AT35" s="1030">
        <v>1720482</v>
      </c>
      <c r="AU35" s="1126">
        <v>5</v>
      </c>
      <c r="AV35" s="1028" t="s">
        <v>143</v>
      </c>
      <c r="AW35" s="1028">
        <v>2</v>
      </c>
      <c r="AX35" s="1029">
        <v>1</v>
      </c>
      <c r="AY35" s="1028">
        <v>1</v>
      </c>
      <c r="AZ35" s="1028" t="s">
        <v>143</v>
      </c>
      <c r="BA35" s="1028" t="s">
        <v>143</v>
      </c>
      <c r="BB35" s="1028" t="s">
        <v>143</v>
      </c>
      <c r="BC35" s="1028">
        <v>1</v>
      </c>
      <c r="BD35" s="1028" t="s">
        <v>143</v>
      </c>
      <c r="BE35" s="1030">
        <v>72</v>
      </c>
      <c r="BF35" s="1180"/>
      <c r="BG35" s="1037">
        <v>12</v>
      </c>
      <c r="BH35" s="1028">
        <v>27326</v>
      </c>
      <c r="BI35" s="1028">
        <v>1</v>
      </c>
      <c r="BJ35" s="1029">
        <v>27438</v>
      </c>
      <c r="BK35" s="1028">
        <v>3</v>
      </c>
      <c r="BL35" s="1028">
        <v>3</v>
      </c>
      <c r="BM35" s="1028">
        <v>67483</v>
      </c>
      <c r="BN35" s="1028">
        <v>2</v>
      </c>
      <c r="BO35" s="1028">
        <v>2480</v>
      </c>
      <c r="BP35" s="1028">
        <v>7</v>
      </c>
      <c r="BQ35" s="1030">
        <v>28</v>
      </c>
      <c r="BR35" s="1180"/>
      <c r="BS35" s="1238">
        <v>2</v>
      </c>
      <c r="BT35" s="1239">
        <v>2469</v>
      </c>
      <c r="BU35" s="1225"/>
      <c r="BV35" s="1037">
        <v>54</v>
      </c>
      <c r="BW35" s="1028">
        <v>1798</v>
      </c>
      <c r="BX35" s="1028">
        <v>1653</v>
      </c>
      <c r="BY35" s="1126">
        <v>1</v>
      </c>
      <c r="BZ35" s="1028">
        <v>16</v>
      </c>
      <c r="CA35" s="1028">
        <v>9</v>
      </c>
      <c r="CB35" s="1126">
        <v>42</v>
      </c>
      <c r="CC35" s="1028">
        <v>1666</v>
      </c>
      <c r="CD35" s="1030">
        <v>1767</v>
      </c>
      <c r="CE35" s="1180"/>
      <c r="CF35" s="1037">
        <v>337</v>
      </c>
      <c r="CG35" s="1028">
        <v>52</v>
      </c>
      <c r="CH35" s="1028">
        <v>10</v>
      </c>
      <c r="CI35" s="1028">
        <v>10</v>
      </c>
      <c r="CJ35" s="1028">
        <v>2</v>
      </c>
      <c r="CK35" s="1029">
        <v>2</v>
      </c>
      <c r="CL35" s="1029">
        <v>4</v>
      </c>
      <c r="CM35" s="1028">
        <v>104</v>
      </c>
      <c r="CN35" s="1029">
        <v>15941</v>
      </c>
      <c r="CO35" s="1029">
        <v>215</v>
      </c>
      <c r="CP35" s="1029">
        <v>471</v>
      </c>
      <c r="CQ35" s="1030">
        <v>176</v>
      </c>
      <c r="CR35" s="1180"/>
      <c r="CS35" s="1037">
        <v>169</v>
      </c>
      <c r="CT35" s="1029">
        <v>29</v>
      </c>
      <c r="CU35" s="1029">
        <v>2</v>
      </c>
      <c r="CV35" s="1029">
        <v>33</v>
      </c>
      <c r="CW35" s="1029">
        <v>87</v>
      </c>
      <c r="CX35" s="1240">
        <v>18</v>
      </c>
      <c r="CY35" s="1240">
        <v>0</v>
      </c>
      <c r="CZ35" s="1028">
        <v>1226184</v>
      </c>
      <c r="DA35" s="1030">
        <v>27223</v>
      </c>
    </row>
    <row r="36" spans="1:105" s="1078" customFormat="1" ht="15.75" customHeight="1" x14ac:dyDescent="0.2">
      <c r="A36" s="1106" t="s">
        <v>183</v>
      </c>
      <c r="B36" s="1036" t="s">
        <v>143</v>
      </c>
      <c r="C36" s="1119" t="s">
        <v>143</v>
      </c>
      <c r="D36" s="1119" t="s">
        <v>143</v>
      </c>
      <c r="E36" s="1119">
        <v>22</v>
      </c>
      <c r="F36" s="1119">
        <v>22</v>
      </c>
      <c r="G36" s="1119">
        <v>4798</v>
      </c>
      <c r="H36" s="1119">
        <v>4093</v>
      </c>
      <c r="I36" s="1265">
        <v>326</v>
      </c>
      <c r="J36" s="1036">
        <v>47</v>
      </c>
      <c r="K36" s="1032">
        <v>22458</v>
      </c>
      <c r="L36" s="1033">
        <v>1310</v>
      </c>
      <c r="M36" s="1032">
        <v>1</v>
      </c>
      <c r="N36" s="1032">
        <v>591</v>
      </c>
      <c r="O36" s="1032">
        <v>27</v>
      </c>
      <c r="P36" s="1033">
        <v>20</v>
      </c>
      <c r="Q36" s="1032">
        <v>10713</v>
      </c>
      <c r="R36" s="1032">
        <v>739</v>
      </c>
      <c r="S36" s="1032">
        <v>3</v>
      </c>
      <c r="T36" s="1032">
        <v>444</v>
      </c>
      <c r="U36" s="1034">
        <v>28</v>
      </c>
      <c r="V36" s="1119" t="s">
        <v>143</v>
      </c>
      <c r="W36" s="1033" t="s">
        <v>143</v>
      </c>
      <c r="X36" s="1033" t="s">
        <v>143</v>
      </c>
      <c r="Y36" s="1032" t="s">
        <v>143</v>
      </c>
      <c r="Z36" s="1033" t="s">
        <v>143</v>
      </c>
      <c r="AA36" s="1033" t="s">
        <v>143</v>
      </c>
      <c r="AB36" s="1032" t="s">
        <v>143</v>
      </c>
      <c r="AC36" s="1033" t="s">
        <v>143</v>
      </c>
      <c r="AD36" s="1033" t="s">
        <v>143</v>
      </c>
      <c r="AE36" s="1032">
        <v>9</v>
      </c>
      <c r="AF36" s="1032">
        <v>11465</v>
      </c>
      <c r="AG36" s="1034">
        <v>786</v>
      </c>
      <c r="AH36" s="1036" t="s">
        <v>143</v>
      </c>
      <c r="AI36" s="1032" t="s">
        <v>143</v>
      </c>
      <c r="AJ36" s="1032" t="s">
        <v>143</v>
      </c>
      <c r="AK36" s="1032">
        <v>2</v>
      </c>
      <c r="AL36" s="1032">
        <v>185</v>
      </c>
      <c r="AM36" s="1033">
        <v>29</v>
      </c>
      <c r="AN36" s="1033" t="s">
        <v>143</v>
      </c>
      <c r="AO36" s="1032" t="s">
        <v>143</v>
      </c>
      <c r="AP36" s="1033">
        <v>5</v>
      </c>
      <c r="AQ36" s="1033">
        <v>2</v>
      </c>
      <c r="AR36" s="1032">
        <v>998255</v>
      </c>
      <c r="AS36" s="1233">
        <v>257.87</v>
      </c>
      <c r="AT36" s="1034">
        <v>2086538</v>
      </c>
      <c r="AU36" s="1119">
        <v>1</v>
      </c>
      <c r="AV36" s="1032" t="s">
        <v>143</v>
      </c>
      <c r="AW36" s="1032" t="s">
        <v>143</v>
      </c>
      <c r="AX36" s="1033" t="s">
        <v>143</v>
      </c>
      <c r="AY36" s="1032">
        <v>1</v>
      </c>
      <c r="AZ36" s="1267" t="s">
        <v>143</v>
      </c>
      <c r="BA36" s="1032" t="s">
        <v>143</v>
      </c>
      <c r="BB36" s="1267" t="s">
        <v>143</v>
      </c>
      <c r="BC36" s="1267" t="s">
        <v>143</v>
      </c>
      <c r="BD36" s="1267" t="s">
        <v>143</v>
      </c>
      <c r="BE36" s="1034">
        <v>8</v>
      </c>
      <c r="BF36" s="1180"/>
      <c r="BG36" s="1036">
        <v>6</v>
      </c>
      <c r="BH36" s="1032">
        <v>40159</v>
      </c>
      <c r="BI36" s="1032" t="s">
        <v>143</v>
      </c>
      <c r="BJ36" s="1033" t="s">
        <v>143</v>
      </c>
      <c r="BK36" s="1032">
        <v>1</v>
      </c>
      <c r="BL36" s="1032">
        <v>1</v>
      </c>
      <c r="BM36" s="1032">
        <v>30703</v>
      </c>
      <c r="BN36" s="1032" t="s">
        <v>143</v>
      </c>
      <c r="BO36" s="1032" t="s">
        <v>143</v>
      </c>
      <c r="BP36" s="1032">
        <v>3</v>
      </c>
      <c r="BQ36" s="1034">
        <v>29</v>
      </c>
      <c r="BR36" s="1180"/>
      <c r="BS36" s="1234">
        <v>5</v>
      </c>
      <c r="BT36" s="1266">
        <v>2108</v>
      </c>
      <c r="BU36" s="1225"/>
      <c r="BV36" s="1036">
        <v>2</v>
      </c>
      <c r="BW36" s="1033">
        <v>100</v>
      </c>
      <c r="BX36" s="1033">
        <v>97</v>
      </c>
      <c r="BY36" s="1032">
        <v>33</v>
      </c>
      <c r="BZ36" s="1032">
        <v>2450</v>
      </c>
      <c r="CA36" s="1032">
        <v>2334</v>
      </c>
      <c r="CB36" s="1119">
        <v>13</v>
      </c>
      <c r="CC36" s="1032">
        <v>620</v>
      </c>
      <c r="CD36" s="1034">
        <v>625</v>
      </c>
      <c r="CE36" s="1180"/>
      <c r="CF36" s="1036">
        <v>387</v>
      </c>
      <c r="CG36" s="1032">
        <v>75</v>
      </c>
      <c r="CH36" s="1032">
        <v>14</v>
      </c>
      <c r="CI36" s="1032">
        <v>14</v>
      </c>
      <c r="CJ36" s="1032">
        <v>3</v>
      </c>
      <c r="CK36" s="1033">
        <v>2</v>
      </c>
      <c r="CL36" s="1033">
        <v>5</v>
      </c>
      <c r="CM36" s="1032">
        <v>115</v>
      </c>
      <c r="CN36" s="1033">
        <v>16455</v>
      </c>
      <c r="CO36" s="1033">
        <v>152</v>
      </c>
      <c r="CP36" s="1033">
        <v>109</v>
      </c>
      <c r="CQ36" s="1034">
        <v>70</v>
      </c>
      <c r="CR36" s="1180"/>
      <c r="CS36" s="1036">
        <v>157</v>
      </c>
      <c r="CT36" s="1033">
        <v>5</v>
      </c>
      <c r="CU36" s="1033">
        <v>5</v>
      </c>
      <c r="CV36" s="1033">
        <v>5</v>
      </c>
      <c r="CW36" s="1033">
        <v>5</v>
      </c>
      <c r="CX36" s="1236">
        <v>16</v>
      </c>
      <c r="CY36" s="1236">
        <v>121</v>
      </c>
      <c r="CZ36" s="1032">
        <v>1136563</v>
      </c>
      <c r="DA36" s="1034">
        <v>3849</v>
      </c>
    </row>
    <row r="37" spans="1:105" s="1078" customFormat="1" ht="15.75" customHeight="1" x14ac:dyDescent="0.2">
      <c r="A37" s="1093" t="s">
        <v>847</v>
      </c>
      <c r="B37" s="1037">
        <v>0</v>
      </c>
      <c r="C37" s="1126">
        <v>0</v>
      </c>
      <c r="D37" s="1126">
        <v>0</v>
      </c>
      <c r="E37" s="1126">
        <v>23</v>
      </c>
      <c r="F37" s="1126">
        <v>1</v>
      </c>
      <c r="G37" s="1028">
        <v>3945</v>
      </c>
      <c r="H37" s="1126">
        <v>93</v>
      </c>
      <c r="I37" s="1030">
        <v>249</v>
      </c>
      <c r="J37" s="1037">
        <v>42</v>
      </c>
      <c r="K37" s="1028">
        <v>20979</v>
      </c>
      <c r="L37" s="1029">
        <v>1156</v>
      </c>
      <c r="M37" s="1028" t="s">
        <v>143</v>
      </c>
      <c r="N37" s="1028" t="s">
        <v>143</v>
      </c>
      <c r="O37" s="1028" t="s">
        <v>143</v>
      </c>
      <c r="P37" s="1029">
        <v>19</v>
      </c>
      <c r="Q37" s="1028">
        <v>10704</v>
      </c>
      <c r="R37" s="1028">
        <v>667</v>
      </c>
      <c r="S37" s="1028">
        <v>1</v>
      </c>
      <c r="T37" s="1028" t="s">
        <v>152</v>
      </c>
      <c r="U37" s="1030" t="s">
        <v>152</v>
      </c>
      <c r="V37" s="1126" t="s">
        <v>143</v>
      </c>
      <c r="W37" s="1029" t="s">
        <v>143</v>
      </c>
      <c r="X37" s="1029" t="s">
        <v>143</v>
      </c>
      <c r="Y37" s="1028" t="s">
        <v>143</v>
      </c>
      <c r="Z37" s="1029" t="s">
        <v>143</v>
      </c>
      <c r="AA37" s="1029" t="s">
        <v>143</v>
      </c>
      <c r="AB37" s="1028" t="s">
        <v>143</v>
      </c>
      <c r="AC37" s="1029" t="s">
        <v>143</v>
      </c>
      <c r="AD37" s="1029" t="s">
        <v>143</v>
      </c>
      <c r="AE37" s="1028">
        <v>12</v>
      </c>
      <c r="AF37" s="1028" t="s">
        <v>152</v>
      </c>
      <c r="AG37" s="1030" t="s">
        <v>152</v>
      </c>
      <c r="AH37" s="1037" t="s">
        <v>143</v>
      </c>
      <c r="AI37" s="1028" t="s">
        <v>143</v>
      </c>
      <c r="AJ37" s="1028" t="s">
        <v>143</v>
      </c>
      <c r="AK37" s="1028">
        <v>2</v>
      </c>
      <c r="AL37" s="1028" t="s">
        <v>152</v>
      </c>
      <c r="AM37" s="1029" t="s">
        <v>152</v>
      </c>
      <c r="AN37" s="1028" t="s">
        <v>143</v>
      </c>
      <c r="AO37" s="1028" t="s">
        <v>143</v>
      </c>
      <c r="AP37" s="1029">
        <v>3</v>
      </c>
      <c r="AQ37" s="1028">
        <v>5</v>
      </c>
      <c r="AR37" s="1028">
        <v>1196027</v>
      </c>
      <c r="AS37" s="1237">
        <v>310.8</v>
      </c>
      <c r="AT37" s="1030">
        <v>2717954</v>
      </c>
      <c r="AU37" s="1126">
        <v>4</v>
      </c>
      <c r="AV37" s="1028" t="s">
        <v>143</v>
      </c>
      <c r="AW37" s="1028" t="s">
        <v>143</v>
      </c>
      <c r="AX37" s="1029">
        <v>3</v>
      </c>
      <c r="AY37" s="1028">
        <v>1</v>
      </c>
      <c r="AZ37" s="1028" t="s">
        <v>143</v>
      </c>
      <c r="BA37" s="1028" t="s">
        <v>143</v>
      </c>
      <c r="BB37" s="1028" t="s">
        <v>143</v>
      </c>
      <c r="BC37" s="1028" t="s">
        <v>143</v>
      </c>
      <c r="BD37" s="1028" t="s">
        <v>143</v>
      </c>
      <c r="BE37" s="1030">
        <v>23</v>
      </c>
      <c r="BF37" s="1180"/>
      <c r="BG37" s="1037">
        <v>5</v>
      </c>
      <c r="BH37" s="1028">
        <v>32115.3</v>
      </c>
      <c r="BI37" s="1028" t="s">
        <v>143</v>
      </c>
      <c r="BJ37" s="1029" t="s">
        <v>143</v>
      </c>
      <c r="BK37" s="1028">
        <v>1</v>
      </c>
      <c r="BL37" s="1028">
        <v>1</v>
      </c>
      <c r="BM37" s="1028">
        <v>23595</v>
      </c>
      <c r="BN37" s="1028">
        <v>3</v>
      </c>
      <c r="BO37" s="1028">
        <v>3092.8</v>
      </c>
      <c r="BP37" s="1028">
        <v>2</v>
      </c>
      <c r="BQ37" s="1030">
        <v>20</v>
      </c>
      <c r="BR37" s="1180"/>
      <c r="BS37" s="1037">
        <v>4</v>
      </c>
      <c r="BT37" s="1030">
        <v>1588</v>
      </c>
      <c r="BU37" s="1225"/>
      <c r="BV37" s="1037" t="s">
        <v>143</v>
      </c>
      <c r="BW37" s="1028" t="s">
        <v>143</v>
      </c>
      <c r="BX37" s="1028" t="s">
        <v>143</v>
      </c>
      <c r="BY37" s="1126">
        <v>58</v>
      </c>
      <c r="BZ37" s="1028">
        <v>4728</v>
      </c>
      <c r="CA37" s="1028">
        <v>3796</v>
      </c>
      <c r="CB37" s="1126" t="s">
        <v>143</v>
      </c>
      <c r="CC37" s="1028" t="s">
        <v>143</v>
      </c>
      <c r="CD37" s="1030" t="s">
        <v>143</v>
      </c>
      <c r="CE37" s="1180"/>
      <c r="CF37" s="1037">
        <v>400</v>
      </c>
      <c r="CG37" s="1028">
        <v>59</v>
      </c>
      <c r="CH37" s="1028">
        <v>14</v>
      </c>
      <c r="CI37" s="1028">
        <v>14</v>
      </c>
      <c r="CJ37" s="1028">
        <v>3</v>
      </c>
      <c r="CK37" s="1029">
        <v>1</v>
      </c>
      <c r="CL37" s="1029">
        <v>8</v>
      </c>
      <c r="CM37" s="1028">
        <v>59</v>
      </c>
      <c r="CN37" s="1029">
        <v>18626</v>
      </c>
      <c r="CO37" s="1029">
        <v>234</v>
      </c>
      <c r="CP37" s="1029">
        <v>77</v>
      </c>
      <c r="CQ37" s="1030">
        <v>61</v>
      </c>
      <c r="CR37" s="1180"/>
      <c r="CS37" s="1037">
        <v>107</v>
      </c>
      <c r="CT37" s="1029">
        <v>26</v>
      </c>
      <c r="CU37" s="1029">
        <v>2</v>
      </c>
      <c r="CV37" s="1029">
        <v>3</v>
      </c>
      <c r="CW37" s="1029">
        <v>7</v>
      </c>
      <c r="CX37" s="1268">
        <v>59</v>
      </c>
      <c r="CY37" s="1268">
        <v>10</v>
      </c>
      <c r="CZ37" s="1028">
        <v>1049454.75</v>
      </c>
      <c r="DA37" s="1030">
        <v>37061.1</v>
      </c>
    </row>
    <row r="38" spans="1:105" s="1078" customFormat="1" ht="15.75" customHeight="1" x14ac:dyDescent="0.2">
      <c r="A38" s="1106" t="s">
        <v>185</v>
      </c>
      <c r="B38" s="1039">
        <v>9</v>
      </c>
      <c r="C38" s="1107">
        <v>338</v>
      </c>
      <c r="D38" s="1107">
        <v>38</v>
      </c>
      <c r="E38" s="1107">
        <v>10</v>
      </c>
      <c r="F38" s="1107">
        <v>4</v>
      </c>
      <c r="G38" s="1040">
        <v>1649</v>
      </c>
      <c r="H38" s="1107">
        <v>306</v>
      </c>
      <c r="I38" s="1108">
        <v>125</v>
      </c>
      <c r="J38" s="1036">
        <v>75</v>
      </c>
      <c r="K38" s="1032">
        <v>23705</v>
      </c>
      <c r="L38" s="1033">
        <v>1572</v>
      </c>
      <c r="M38" s="1032" t="s">
        <v>143</v>
      </c>
      <c r="N38" s="1032" t="s">
        <v>143</v>
      </c>
      <c r="O38" s="1032" t="s">
        <v>143</v>
      </c>
      <c r="P38" s="1033">
        <v>28</v>
      </c>
      <c r="Q38" s="1032">
        <v>11999</v>
      </c>
      <c r="R38" s="1032">
        <v>833</v>
      </c>
      <c r="S38" s="1032">
        <v>1</v>
      </c>
      <c r="T38" s="1032" t="s">
        <v>143</v>
      </c>
      <c r="U38" s="1034" t="s">
        <v>143</v>
      </c>
      <c r="V38" s="1119" t="s">
        <v>143</v>
      </c>
      <c r="W38" s="1033" t="s">
        <v>143</v>
      </c>
      <c r="X38" s="1033" t="s">
        <v>143</v>
      </c>
      <c r="Y38" s="1032" t="s">
        <v>143</v>
      </c>
      <c r="Z38" s="1033" t="s">
        <v>143</v>
      </c>
      <c r="AA38" s="1033" t="s">
        <v>143</v>
      </c>
      <c r="AB38" s="1032" t="s">
        <v>143</v>
      </c>
      <c r="AC38" s="1033" t="s">
        <v>143</v>
      </c>
      <c r="AD38" s="1033" t="s">
        <v>143</v>
      </c>
      <c r="AE38" s="1032">
        <v>15</v>
      </c>
      <c r="AF38" s="1032">
        <v>10303</v>
      </c>
      <c r="AG38" s="1034">
        <v>714</v>
      </c>
      <c r="AH38" s="1036" t="s">
        <v>143</v>
      </c>
      <c r="AI38" s="1032" t="s">
        <v>143</v>
      </c>
      <c r="AJ38" s="1032" t="s">
        <v>143</v>
      </c>
      <c r="AK38" s="1032">
        <v>3</v>
      </c>
      <c r="AL38" s="1032">
        <v>1300</v>
      </c>
      <c r="AM38" s="1033">
        <v>38</v>
      </c>
      <c r="AN38" s="1032" t="s">
        <v>143</v>
      </c>
      <c r="AO38" s="1032" t="s">
        <v>143</v>
      </c>
      <c r="AP38" s="1228">
        <v>2</v>
      </c>
      <c r="AQ38" s="1040">
        <v>2</v>
      </c>
      <c r="AR38" s="1040">
        <v>1753265</v>
      </c>
      <c r="AS38" s="1229">
        <v>413.5</v>
      </c>
      <c r="AT38" s="1108">
        <v>3018379</v>
      </c>
      <c r="AU38" s="1107">
        <v>19</v>
      </c>
      <c r="AV38" s="1040" t="s">
        <v>143</v>
      </c>
      <c r="AW38" s="1040">
        <v>2</v>
      </c>
      <c r="AX38" s="1228">
        <v>13</v>
      </c>
      <c r="AY38" s="1040">
        <v>3</v>
      </c>
      <c r="AZ38" s="1040" t="s">
        <v>143</v>
      </c>
      <c r="BA38" s="1040" t="s">
        <v>143</v>
      </c>
      <c r="BB38" s="1040" t="s">
        <v>143</v>
      </c>
      <c r="BC38" s="1040">
        <v>1</v>
      </c>
      <c r="BD38" s="1040" t="s">
        <v>143</v>
      </c>
      <c r="BE38" s="1108">
        <v>28</v>
      </c>
      <c r="BF38" s="1180"/>
      <c r="BG38" s="1039">
        <v>14</v>
      </c>
      <c r="BH38" s="1040">
        <v>55138</v>
      </c>
      <c r="BI38" s="1040">
        <v>1</v>
      </c>
      <c r="BJ38" s="1228">
        <v>28000</v>
      </c>
      <c r="BK38" s="1040">
        <v>2</v>
      </c>
      <c r="BL38" s="1040">
        <v>2</v>
      </c>
      <c r="BM38" s="1040">
        <v>33870</v>
      </c>
      <c r="BN38" s="1040">
        <v>6</v>
      </c>
      <c r="BO38" s="1040">
        <v>2346</v>
      </c>
      <c r="BP38" s="1040">
        <v>20</v>
      </c>
      <c r="BQ38" s="1108">
        <v>58</v>
      </c>
      <c r="BR38" s="1180"/>
      <c r="BS38" s="1039">
        <v>40</v>
      </c>
      <c r="BT38" s="1108">
        <v>2712</v>
      </c>
      <c r="BU38" s="1225"/>
      <c r="BV38" s="1039">
        <v>2</v>
      </c>
      <c r="BW38" s="1040">
        <v>221</v>
      </c>
      <c r="BX38" s="1040">
        <v>221</v>
      </c>
      <c r="BY38" s="1107">
        <v>68</v>
      </c>
      <c r="BZ38" s="1040">
        <v>5118</v>
      </c>
      <c r="CA38" s="1040">
        <v>3852</v>
      </c>
      <c r="CB38" s="1107">
        <v>1</v>
      </c>
      <c r="CC38" s="1040">
        <v>40</v>
      </c>
      <c r="CD38" s="1108">
        <v>21</v>
      </c>
      <c r="CE38" s="1180"/>
      <c r="CF38" s="1039">
        <v>525</v>
      </c>
      <c r="CG38" s="1040">
        <v>108</v>
      </c>
      <c r="CH38" s="1040">
        <v>21</v>
      </c>
      <c r="CI38" s="1040">
        <v>21</v>
      </c>
      <c r="CJ38" s="1040">
        <v>4</v>
      </c>
      <c r="CK38" s="1228">
        <v>5</v>
      </c>
      <c r="CL38" s="1228">
        <v>7</v>
      </c>
      <c r="CM38" s="1040">
        <v>137</v>
      </c>
      <c r="CN38" s="1228">
        <v>19162</v>
      </c>
      <c r="CO38" s="1228">
        <v>307</v>
      </c>
      <c r="CP38" s="1228">
        <v>110</v>
      </c>
      <c r="CQ38" s="1108">
        <v>115</v>
      </c>
      <c r="CR38" s="1180"/>
      <c r="CS38" s="1036">
        <v>222</v>
      </c>
      <c r="CT38" s="1033">
        <v>59</v>
      </c>
      <c r="CU38" s="1033">
        <v>14</v>
      </c>
      <c r="CV38" s="1033">
        <v>75</v>
      </c>
      <c r="CW38" s="1033">
        <v>54</v>
      </c>
      <c r="CX38" s="1269">
        <v>20</v>
      </c>
      <c r="CY38" s="1269" t="s">
        <v>143</v>
      </c>
      <c r="CZ38" s="1134">
        <v>1558301.57</v>
      </c>
      <c r="DA38" s="1245">
        <v>145300.72</v>
      </c>
    </row>
    <row r="39" spans="1:105" s="1078" customFormat="1" ht="15.75" customHeight="1" x14ac:dyDescent="0.2">
      <c r="A39" s="1093" t="s">
        <v>186</v>
      </c>
      <c r="B39" s="1038">
        <v>30</v>
      </c>
      <c r="C39" s="1094">
        <v>2374</v>
      </c>
      <c r="D39" s="1094">
        <v>193</v>
      </c>
      <c r="E39" s="1126">
        <v>8</v>
      </c>
      <c r="F39" s="1126">
        <v>3</v>
      </c>
      <c r="G39" s="1126">
        <v>838</v>
      </c>
      <c r="H39" s="1126">
        <v>234</v>
      </c>
      <c r="I39" s="1089">
        <v>78</v>
      </c>
      <c r="J39" s="1038">
        <v>37</v>
      </c>
      <c r="K39" s="1027">
        <v>18402</v>
      </c>
      <c r="L39" s="1219">
        <v>1079</v>
      </c>
      <c r="M39" s="1027">
        <v>1</v>
      </c>
      <c r="N39" s="1027">
        <v>618</v>
      </c>
      <c r="O39" s="1027">
        <v>27</v>
      </c>
      <c r="P39" s="1219">
        <v>18</v>
      </c>
      <c r="Q39" s="1027">
        <v>8808</v>
      </c>
      <c r="R39" s="1027">
        <v>606</v>
      </c>
      <c r="S39" s="1027">
        <v>3</v>
      </c>
      <c r="T39" s="1027">
        <v>681</v>
      </c>
      <c r="U39" s="1117">
        <v>56</v>
      </c>
      <c r="V39" s="1126" t="s">
        <v>143</v>
      </c>
      <c r="W39" s="1029" t="s">
        <v>143</v>
      </c>
      <c r="X39" s="1029" t="s">
        <v>143</v>
      </c>
      <c r="Y39" s="1029" t="s">
        <v>143</v>
      </c>
      <c r="Z39" s="1029" t="s">
        <v>143</v>
      </c>
      <c r="AA39" s="1029" t="s">
        <v>143</v>
      </c>
      <c r="AB39" s="1029" t="s">
        <v>143</v>
      </c>
      <c r="AC39" s="1029" t="s">
        <v>143</v>
      </c>
      <c r="AD39" s="1029" t="s">
        <v>143</v>
      </c>
      <c r="AE39" s="1027">
        <v>11</v>
      </c>
      <c r="AF39" s="1027">
        <v>9270</v>
      </c>
      <c r="AG39" s="1117">
        <v>643</v>
      </c>
      <c r="AH39" s="1038" t="s">
        <v>143</v>
      </c>
      <c r="AI39" s="1027" t="s">
        <v>143</v>
      </c>
      <c r="AJ39" s="1027" t="s">
        <v>143</v>
      </c>
      <c r="AK39" s="1027">
        <v>4</v>
      </c>
      <c r="AL39" s="1027">
        <v>1043</v>
      </c>
      <c r="AM39" s="1219">
        <v>79</v>
      </c>
      <c r="AN39" s="1027" t="s">
        <v>143</v>
      </c>
      <c r="AO39" s="1027" t="s">
        <v>143</v>
      </c>
      <c r="AP39" s="1219">
        <v>2</v>
      </c>
      <c r="AQ39" s="1219">
        <v>3</v>
      </c>
      <c r="AR39" s="1027">
        <v>879884</v>
      </c>
      <c r="AS39" s="1222">
        <v>256.10000000000002</v>
      </c>
      <c r="AT39" s="1117">
        <v>1564111</v>
      </c>
      <c r="AU39" s="1094">
        <v>7</v>
      </c>
      <c r="AV39" s="1027" t="s">
        <v>143</v>
      </c>
      <c r="AW39" s="1027" t="s">
        <v>143</v>
      </c>
      <c r="AX39" s="1219">
        <v>5</v>
      </c>
      <c r="AY39" s="1027">
        <v>1</v>
      </c>
      <c r="AZ39" s="1027">
        <v>1</v>
      </c>
      <c r="BA39" s="1027" t="s">
        <v>143</v>
      </c>
      <c r="BB39" s="1027" t="s">
        <v>143</v>
      </c>
      <c r="BC39" s="1027" t="s">
        <v>143</v>
      </c>
      <c r="BD39" s="1027" t="s">
        <v>143</v>
      </c>
      <c r="BE39" s="1117">
        <v>33</v>
      </c>
      <c r="BF39" s="1180"/>
      <c r="BG39" s="1038">
        <f>4+3</f>
        <v>7</v>
      </c>
      <c r="BH39" s="1027">
        <f>3301+11308</f>
        <v>14609</v>
      </c>
      <c r="BI39" s="1027">
        <v>1</v>
      </c>
      <c r="BJ39" s="1219">
        <v>31853</v>
      </c>
      <c r="BK39" s="1027">
        <v>1</v>
      </c>
      <c r="BL39" s="1027">
        <v>1</v>
      </c>
      <c r="BM39" s="1027">
        <v>21447</v>
      </c>
      <c r="BN39" s="1027">
        <f>5+8</f>
        <v>13</v>
      </c>
      <c r="BO39" s="1027">
        <f>1469+4607</f>
        <v>6076</v>
      </c>
      <c r="BP39" s="1027">
        <f>3+13</f>
        <v>16</v>
      </c>
      <c r="BQ39" s="1117">
        <f>5+49</f>
        <v>54</v>
      </c>
      <c r="BR39" s="1180"/>
      <c r="BS39" s="1223">
        <v>1</v>
      </c>
      <c r="BT39" s="1224">
        <v>1300</v>
      </c>
      <c r="BU39" s="1225"/>
      <c r="BV39" s="1038">
        <v>37</v>
      </c>
      <c r="BW39" s="1027">
        <v>3263</v>
      </c>
      <c r="BX39" s="1027">
        <v>2890</v>
      </c>
      <c r="BY39" s="1094" t="s">
        <v>143</v>
      </c>
      <c r="BZ39" s="1028" t="s">
        <v>143</v>
      </c>
      <c r="CA39" s="1028" t="s">
        <v>143</v>
      </c>
      <c r="CB39" s="1094">
        <v>24</v>
      </c>
      <c r="CC39" s="1027">
        <v>1429</v>
      </c>
      <c r="CD39" s="1117">
        <v>677</v>
      </c>
      <c r="CE39" s="1180"/>
      <c r="CF39" s="1038">
        <v>320</v>
      </c>
      <c r="CG39" s="1027">
        <v>53</v>
      </c>
      <c r="CH39" s="1027">
        <v>12</v>
      </c>
      <c r="CI39" s="1027">
        <v>12</v>
      </c>
      <c r="CJ39" s="1027">
        <v>4</v>
      </c>
      <c r="CK39" s="1219">
        <v>2</v>
      </c>
      <c r="CL39" s="1219">
        <v>4</v>
      </c>
      <c r="CM39" s="1027">
        <v>80</v>
      </c>
      <c r="CN39" s="1219">
        <v>17879</v>
      </c>
      <c r="CO39" s="1219">
        <v>250</v>
      </c>
      <c r="CP39" s="1219">
        <v>344</v>
      </c>
      <c r="CQ39" s="1117">
        <v>211</v>
      </c>
      <c r="CR39" s="1180"/>
      <c r="CS39" s="1038">
        <v>361</v>
      </c>
      <c r="CT39" s="1219">
        <v>20</v>
      </c>
      <c r="CU39" s="1219">
        <v>4</v>
      </c>
      <c r="CV39" s="1219">
        <v>317</v>
      </c>
      <c r="CW39" s="1219">
        <v>10</v>
      </c>
      <c r="CX39" s="1226">
        <v>10</v>
      </c>
      <c r="CY39" s="1226">
        <v>0</v>
      </c>
      <c r="CZ39" s="1027">
        <v>1037505.6</v>
      </c>
      <c r="DA39" s="1117">
        <v>6121.27</v>
      </c>
    </row>
    <row r="40" spans="1:105" s="1078" customFormat="1" ht="15.75" customHeight="1" x14ac:dyDescent="0.2">
      <c r="A40" s="1106" t="s">
        <v>187</v>
      </c>
      <c r="B40" s="1039" t="s">
        <v>143</v>
      </c>
      <c r="C40" s="1107" t="s">
        <v>143</v>
      </c>
      <c r="D40" s="1107" t="s">
        <v>143</v>
      </c>
      <c r="E40" s="1107">
        <v>18</v>
      </c>
      <c r="F40" s="1107">
        <v>7</v>
      </c>
      <c r="G40" s="1107">
        <v>3545</v>
      </c>
      <c r="H40" s="1107">
        <v>1229</v>
      </c>
      <c r="I40" s="1227">
        <v>248</v>
      </c>
      <c r="J40" s="1039">
        <v>41</v>
      </c>
      <c r="K40" s="1040">
        <v>22318</v>
      </c>
      <c r="L40" s="1033">
        <v>1419</v>
      </c>
      <c r="M40" s="1040">
        <v>1</v>
      </c>
      <c r="N40" s="1040">
        <v>130</v>
      </c>
      <c r="O40" s="1032">
        <v>20</v>
      </c>
      <c r="P40" s="1228">
        <v>17</v>
      </c>
      <c r="Q40" s="1040">
        <v>9463</v>
      </c>
      <c r="R40" s="1032">
        <v>714</v>
      </c>
      <c r="S40" s="1040">
        <v>3</v>
      </c>
      <c r="T40" s="1040">
        <v>730</v>
      </c>
      <c r="U40" s="1034">
        <v>63</v>
      </c>
      <c r="V40" s="1107">
        <v>0</v>
      </c>
      <c r="W40" s="1228">
        <v>0</v>
      </c>
      <c r="X40" s="1033">
        <v>0</v>
      </c>
      <c r="Y40" s="1040">
        <v>0</v>
      </c>
      <c r="Z40" s="1228">
        <v>0</v>
      </c>
      <c r="AA40" s="1033">
        <v>0</v>
      </c>
      <c r="AB40" s="1040">
        <v>0</v>
      </c>
      <c r="AC40" s="1228">
        <v>0</v>
      </c>
      <c r="AD40" s="1228">
        <v>0</v>
      </c>
      <c r="AE40" s="1040">
        <v>12</v>
      </c>
      <c r="AF40" s="1040">
        <v>10129</v>
      </c>
      <c r="AG40" s="1034">
        <v>668</v>
      </c>
      <c r="AH40" s="1039">
        <v>0</v>
      </c>
      <c r="AI40" s="1040">
        <v>0</v>
      </c>
      <c r="AJ40" s="1228">
        <v>0</v>
      </c>
      <c r="AK40" s="1040">
        <v>1</v>
      </c>
      <c r="AL40" s="1040">
        <v>171</v>
      </c>
      <c r="AM40" s="1033">
        <v>23</v>
      </c>
      <c r="AN40" s="1040">
        <v>0</v>
      </c>
      <c r="AO40" s="1040">
        <v>0</v>
      </c>
      <c r="AP40" s="1228">
        <v>2</v>
      </c>
      <c r="AQ40" s="1033">
        <v>9</v>
      </c>
      <c r="AR40" s="1040">
        <v>1044323</v>
      </c>
      <c r="AS40" s="1229">
        <f>AR40/408518*100</f>
        <v>255.6369609172668</v>
      </c>
      <c r="AT40" s="1108">
        <f>3245338+163693</f>
        <v>3409031</v>
      </c>
      <c r="AU40" s="1107">
        <v>3</v>
      </c>
      <c r="AV40" s="1040">
        <v>1</v>
      </c>
      <c r="AW40" s="1040" t="s">
        <v>143</v>
      </c>
      <c r="AX40" s="1228">
        <v>2</v>
      </c>
      <c r="AY40" s="1040" t="s">
        <v>143</v>
      </c>
      <c r="AZ40" s="1040" t="s">
        <v>143</v>
      </c>
      <c r="BA40" s="1040" t="s">
        <v>143</v>
      </c>
      <c r="BB40" s="1040" t="s">
        <v>143</v>
      </c>
      <c r="BC40" s="1040" t="s">
        <v>143</v>
      </c>
      <c r="BD40" s="1040" t="s">
        <v>143</v>
      </c>
      <c r="BE40" s="1108">
        <v>4</v>
      </c>
      <c r="BF40" s="1180"/>
      <c r="BG40" s="1039">
        <v>6</v>
      </c>
      <c r="BH40" s="1040">
        <v>26869.86</v>
      </c>
      <c r="BI40" s="1040" t="s">
        <v>143</v>
      </c>
      <c r="BJ40" s="1228" t="s">
        <v>143</v>
      </c>
      <c r="BK40" s="1040">
        <v>4</v>
      </c>
      <c r="BL40" s="1040">
        <v>4</v>
      </c>
      <c r="BM40" s="1040">
        <v>40189</v>
      </c>
      <c r="BN40" s="1040">
        <v>2</v>
      </c>
      <c r="BO40" s="1040">
        <v>1181.25</v>
      </c>
      <c r="BP40" s="1040">
        <v>5</v>
      </c>
      <c r="BQ40" s="1108">
        <v>20</v>
      </c>
      <c r="BR40" s="1180"/>
      <c r="BS40" s="1259">
        <v>2</v>
      </c>
      <c r="BT40" s="1270">
        <v>1344</v>
      </c>
      <c r="BU40" s="1261"/>
      <c r="BV40" s="1039">
        <v>41</v>
      </c>
      <c r="BW40" s="1040" t="s">
        <v>143</v>
      </c>
      <c r="BX40" s="1040">
        <v>4623</v>
      </c>
      <c r="BY40" s="1107" t="s">
        <v>143</v>
      </c>
      <c r="BZ40" s="1040" t="s">
        <v>143</v>
      </c>
      <c r="CA40" s="1040" t="s">
        <v>143</v>
      </c>
      <c r="CB40" s="1107" t="s">
        <v>143</v>
      </c>
      <c r="CC40" s="1040" t="s">
        <v>143</v>
      </c>
      <c r="CD40" s="1108" t="s">
        <v>143</v>
      </c>
      <c r="CE40" s="1180"/>
      <c r="CF40" s="1039">
        <v>424</v>
      </c>
      <c r="CG40" s="1040">
        <v>74</v>
      </c>
      <c r="CH40" s="1040">
        <v>17</v>
      </c>
      <c r="CI40" s="1040">
        <v>17</v>
      </c>
      <c r="CJ40" s="1040">
        <v>3</v>
      </c>
      <c r="CK40" s="1228">
        <v>1</v>
      </c>
      <c r="CL40" s="1228">
        <v>6</v>
      </c>
      <c r="CM40" s="1040">
        <v>71</v>
      </c>
      <c r="CN40" s="1228">
        <v>25025</v>
      </c>
      <c r="CO40" s="1228">
        <v>440</v>
      </c>
      <c r="CP40" s="1228">
        <v>265</v>
      </c>
      <c r="CQ40" s="1108">
        <v>173</v>
      </c>
      <c r="CR40" s="1180"/>
      <c r="CS40" s="193">
        <v>60</v>
      </c>
      <c r="CT40" s="467">
        <v>19</v>
      </c>
      <c r="CU40" s="467">
        <v>1</v>
      </c>
      <c r="CV40" s="467">
        <v>31</v>
      </c>
      <c r="CW40" s="467">
        <v>5</v>
      </c>
      <c r="CX40" s="1416">
        <v>4</v>
      </c>
      <c r="CY40" s="1416">
        <v>0</v>
      </c>
      <c r="CZ40" s="1040">
        <v>850329.54999999993</v>
      </c>
      <c r="DA40" s="1108">
        <v>66091.159999999989</v>
      </c>
    </row>
    <row r="41" spans="1:105" s="1078" customFormat="1" ht="15.75" customHeight="1" x14ac:dyDescent="0.2">
      <c r="A41" s="1093" t="s">
        <v>846</v>
      </c>
      <c r="B41" s="1038">
        <v>15</v>
      </c>
      <c r="C41" s="1094">
        <v>935</v>
      </c>
      <c r="D41" s="1094">
        <v>89</v>
      </c>
      <c r="E41" s="1094">
        <v>16</v>
      </c>
      <c r="F41" s="1094">
        <v>16</v>
      </c>
      <c r="G41" s="1094">
        <v>5496</v>
      </c>
      <c r="H41" s="1094">
        <v>5260</v>
      </c>
      <c r="I41" s="1175">
        <v>312</v>
      </c>
      <c r="J41" s="1038">
        <v>36</v>
      </c>
      <c r="K41" s="1027">
        <v>21021</v>
      </c>
      <c r="L41" s="1219">
        <v>1246</v>
      </c>
      <c r="M41" s="1027" t="s">
        <v>143</v>
      </c>
      <c r="N41" s="1027" t="s">
        <v>143</v>
      </c>
      <c r="O41" s="1027" t="s">
        <v>143</v>
      </c>
      <c r="P41" s="1219">
        <v>18</v>
      </c>
      <c r="Q41" s="1027">
        <v>8852</v>
      </c>
      <c r="R41" s="1027">
        <v>615</v>
      </c>
      <c r="S41" s="1027">
        <v>2</v>
      </c>
      <c r="T41" s="1027">
        <v>1289</v>
      </c>
      <c r="U41" s="1117">
        <v>67</v>
      </c>
      <c r="V41" s="1094" t="s">
        <v>143</v>
      </c>
      <c r="W41" s="1219" t="s">
        <v>143</v>
      </c>
      <c r="X41" s="1219" t="s">
        <v>143</v>
      </c>
      <c r="Y41" s="1027" t="s">
        <v>143</v>
      </c>
      <c r="Z41" s="1219" t="s">
        <v>143</v>
      </c>
      <c r="AA41" s="1219" t="s">
        <v>143</v>
      </c>
      <c r="AB41" s="1027" t="s">
        <v>143</v>
      </c>
      <c r="AC41" s="1027" t="s">
        <v>143</v>
      </c>
      <c r="AD41" s="1027" t="s">
        <v>143</v>
      </c>
      <c r="AE41" s="1027">
        <v>8</v>
      </c>
      <c r="AF41" s="1027">
        <v>7876</v>
      </c>
      <c r="AG41" s="1117">
        <v>468</v>
      </c>
      <c r="AH41" s="1038" t="s">
        <v>143</v>
      </c>
      <c r="AI41" s="1027" t="s">
        <v>143</v>
      </c>
      <c r="AJ41" s="1027" t="s">
        <v>143</v>
      </c>
      <c r="AK41" s="1027" t="s">
        <v>143</v>
      </c>
      <c r="AL41" s="1027" t="s">
        <v>143</v>
      </c>
      <c r="AM41" s="1219" t="s">
        <v>143</v>
      </c>
      <c r="AN41" s="1027" t="s">
        <v>143</v>
      </c>
      <c r="AO41" s="1027" t="s">
        <v>143</v>
      </c>
      <c r="AP41" s="1219" t="s">
        <v>143</v>
      </c>
      <c r="AQ41" s="1219">
        <v>9</v>
      </c>
      <c r="AR41" s="1027">
        <v>1185311</v>
      </c>
      <c r="AS41" s="1222">
        <v>317</v>
      </c>
      <c r="AT41" s="1117">
        <v>3294311</v>
      </c>
      <c r="AU41" s="1094">
        <v>4</v>
      </c>
      <c r="AV41" s="1027" t="s">
        <v>143</v>
      </c>
      <c r="AW41" s="1027" t="s">
        <v>143</v>
      </c>
      <c r="AX41" s="1219">
        <v>3</v>
      </c>
      <c r="AY41" s="1027">
        <v>1</v>
      </c>
      <c r="AZ41" s="1027" t="s">
        <v>143</v>
      </c>
      <c r="BA41" s="1027" t="s">
        <v>143</v>
      </c>
      <c r="BB41" s="1027" t="s">
        <v>143</v>
      </c>
      <c r="BC41" s="1027" t="s">
        <v>143</v>
      </c>
      <c r="BD41" s="1027" t="s">
        <v>143</v>
      </c>
      <c r="BE41" s="1117">
        <v>30</v>
      </c>
      <c r="BF41" s="1180"/>
      <c r="BG41" s="1038">
        <v>5</v>
      </c>
      <c r="BH41" s="1027">
        <v>29727</v>
      </c>
      <c r="BI41" s="1027">
        <v>1</v>
      </c>
      <c r="BJ41" s="1219">
        <v>30975</v>
      </c>
      <c r="BK41" s="1027">
        <v>4</v>
      </c>
      <c r="BL41" s="1027">
        <v>5</v>
      </c>
      <c r="BM41" s="1027">
        <v>46281</v>
      </c>
      <c r="BN41" s="1027">
        <v>2</v>
      </c>
      <c r="BO41" s="1027">
        <v>4735</v>
      </c>
      <c r="BP41" s="1027">
        <v>4</v>
      </c>
      <c r="BQ41" s="1117">
        <v>15</v>
      </c>
      <c r="BR41" s="1180"/>
      <c r="BS41" s="1223">
        <v>14</v>
      </c>
      <c r="BT41" s="1271">
        <v>1382</v>
      </c>
      <c r="BU41" s="1225"/>
      <c r="BV41" s="1038">
        <v>26</v>
      </c>
      <c r="BW41" s="1027">
        <v>3205</v>
      </c>
      <c r="BX41" s="1027">
        <v>2958</v>
      </c>
      <c r="BY41" s="1094">
        <v>10</v>
      </c>
      <c r="BZ41" s="1027">
        <v>1240</v>
      </c>
      <c r="CA41" s="1027">
        <v>1151</v>
      </c>
      <c r="CB41" s="1094" t="s">
        <v>143</v>
      </c>
      <c r="CC41" s="1027" t="s">
        <v>143</v>
      </c>
      <c r="CD41" s="1117" t="s">
        <v>143</v>
      </c>
      <c r="CE41" s="1180"/>
      <c r="CF41" s="1038">
        <v>367</v>
      </c>
      <c r="CG41" s="1027">
        <v>44</v>
      </c>
      <c r="CH41" s="1027">
        <v>13</v>
      </c>
      <c r="CI41" s="1027">
        <v>13</v>
      </c>
      <c r="CJ41" s="1027">
        <v>4</v>
      </c>
      <c r="CK41" s="1219" t="s">
        <v>143</v>
      </c>
      <c r="CL41" s="1219">
        <v>4</v>
      </c>
      <c r="CM41" s="1027">
        <v>44</v>
      </c>
      <c r="CN41" s="1219">
        <v>20210</v>
      </c>
      <c r="CO41" s="1219">
        <v>272</v>
      </c>
      <c r="CP41" s="1219">
        <v>79</v>
      </c>
      <c r="CQ41" s="1117">
        <v>135</v>
      </c>
      <c r="CR41" s="1180"/>
      <c r="CS41" s="1038">
        <v>53</v>
      </c>
      <c r="CT41" s="1219">
        <v>15</v>
      </c>
      <c r="CU41" s="1219">
        <v>2</v>
      </c>
      <c r="CV41" s="1219">
        <v>2</v>
      </c>
      <c r="CW41" s="1219">
        <v>25</v>
      </c>
      <c r="CX41" s="1226">
        <v>9</v>
      </c>
      <c r="CY41" s="1226" t="s">
        <v>143</v>
      </c>
      <c r="CZ41" s="1219">
        <v>895200.07</v>
      </c>
      <c r="DA41" s="1117">
        <v>16380.58</v>
      </c>
    </row>
    <row r="42" spans="1:105" s="1078" customFormat="1" ht="15.75" customHeight="1" x14ac:dyDescent="0.2">
      <c r="A42" s="1106" t="s">
        <v>190</v>
      </c>
      <c r="B42" s="1039">
        <v>15</v>
      </c>
      <c r="C42" s="1107">
        <v>672</v>
      </c>
      <c r="D42" s="1107">
        <v>74</v>
      </c>
      <c r="E42" s="1107">
        <v>6</v>
      </c>
      <c r="F42" s="1107" t="s">
        <v>143</v>
      </c>
      <c r="G42" s="1107">
        <v>1685</v>
      </c>
      <c r="H42" s="1107">
        <v>1685</v>
      </c>
      <c r="I42" s="1227">
        <v>105</v>
      </c>
      <c r="J42" s="1039">
        <v>41</v>
      </c>
      <c r="K42" s="1040">
        <v>17484</v>
      </c>
      <c r="L42" s="1228">
        <v>1331</v>
      </c>
      <c r="M42" s="1040">
        <v>1</v>
      </c>
      <c r="N42" s="1040">
        <v>362</v>
      </c>
      <c r="O42" s="1040">
        <v>32</v>
      </c>
      <c r="P42" s="1228">
        <v>18</v>
      </c>
      <c r="Q42" s="1040">
        <v>8713</v>
      </c>
      <c r="R42" s="1040">
        <v>684</v>
      </c>
      <c r="S42" s="1040">
        <v>3</v>
      </c>
      <c r="T42" s="1040">
        <v>1223</v>
      </c>
      <c r="U42" s="1108">
        <v>85</v>
      </c>
      <c r="V42" s="1107" t="s">
        <v>143</v>
      </c>
      <c r="W42" s="1040" t="s">
        <v>143</v>
      </c>
      <c r="X42" s="1228" t="s">
        <v>143</v>
      </c>
      <c r="Y42" s="1040" t="s">
        <v>143</v>
      </c>
      <c r="Z42" s="1040" t="s">
        <v>143</v>
      </c>
      <c r="AA42" s="1228" t="s">
        <v>143</v>
      </c>
      <c r="AB42" s="1040" t="s">
        <v>143</v>
      </c>
      <c r="AC42" s="1040" t="s">
        <v>143</v>
      </c>
      <c r="AD42" s="1228" t="s">
        <v>143</v>
      </c>
      <c r="AE42" s="1040">
        <v>9</v>
      </c>
      <c r="AF42" s="1040">
        <v>7650</v>
      </c>
      <c r="AG42" s="1108">
        <v>515</v>
      </c>
      <c r="AH42" s="1039" t="s">
        <v>143</v>
      </c>
      <c r="AI42" s="1040" t="s">
        <v>143</v>
      </c>
      <c r="AJ42" s="1040" t="s">
        <v>143</v>
      </c>
      <c r="AK42" s="1040" t="s">
        <v>143</v>
      </c>
      <c r="AL42" s="1040" t="s">
        <v>143</v>
      </c>
      <c r="AM42" s="1228" t="s">
        <v>143</v>
      </c>
      <c r="AN42" s="1040" t="s">
        <v>143</v>
      </c>
      <c r="AO42" s="1040" t="s">
        <v>143</v>
      </c>
      <c r="AP42" s="1228">
        <v>1</v>
      </c>
      <c r="AQ42" s="1228">
        <v>5</v>
      </c>
      <c r="AR42" s="1040">
        <v>1623533</v>
      </c>
      <c r="AS42" s="1233">
        <v>462.5</v>
      </c>
      <c r="AT42" s="1108">
        <v>3121606</v>
      </c>
      <c r="AU42" s="1107">
        <v>4</v>
      </c>
      <c r="AV42" s="1040" t="s">
        <v>143</v>
      </c>
      <c r="AW42" s="1040">
        <v>1</v>
      </c>
      <c r="AX42" s="1228">
        <v>3</v>
      </c>
      <c r="AY42" s="1040" t="s">
        <v>143</v>
      </c>
      <c r="AZ42" s="1040" t="s">
        <v>143</v>
      </c>
      <c r="BA42" s="1040" t="s">
        <v>143</v>
      </c>
      <c r="BB42" s="1040" t="s">
        <v>143</v>
      </c>
      <c r="BC42" s="1040" t="s">
        <v>143</v>
      </c>
      <c r="BD42" s="1040" t="s">
        <v>143</v>
      </c>
      <c r="BE42" s="1108">
        <v>13</v>
      </c>
      <c r="BF42" s="1180"/>
      <c r="BG42" s="1039">
        <v>3</v>
      </c>
      <c r="BH42" s="1032">
        <v>14721</v>
      </c>
      <c r="BI42" s="1040">
        <v>1</v>
      </c>
      <c r="BJ42" s="1228">
        <v>24719</v>
      </c>
      <c r="BK42" s="1040">
        <v>2</v>
      </c>
      <c r="BL42" s="1040">
        <v>2</v>
      </c>
      <c r="BM42" s="1040">
        <v>26843</v>
      </c>
      <c r="BN42" s="1040">
        <v>3</v>
      </c>
      <c r="BO42" s="1040">
        <v>2187</v>
      </c>
      <c r="BP42" s="1040">
        <v>5</v>
      </c>
      <c r="BQ42" s="1108">
        <v>24</v>
      </c>
      <c r="BR42" s="1180"/>
      <c r="BS42" s="1230">
        <v>3</v>
      </c>
      <c r="BT42" s="1231">
        <v>1564</v>
      </c>
      <c r="BU42" s="1225"/>
      <c r="BV42" s="1039">
        <v>65</v>
      </c>
      <c r="BW42" s="1040">
        <v>3808</v>
      </c>
      <c r="BX42" s="1040">
        <v>2996</v>
      </c>
      <c r="BY42" s="1040">
        <v>0</v>
      </c>
      <c r="BZ42" s="1040">
        <v>0</v>
      </c>
      <c r="CA42" s="1040">
        <v>0</v>
      </c>
      <c r="CB42" s="1107">
        <v>6</v>
      </c>
      <c r="CC42" s="1040">
        <v>211</v>
      </c>
      <c r="CD42" s="1108">
        <v>93</v>
      </c>
      <c r="CE42" s="1180"/>
      <c r="CF42" s="1039">
        <v>329</v>
      </c>
      <c r="CG42" s="1040">
        <v>56</v>
      </c>
      <c r="CH42" s="1040">
        <v>14</v>
      </c>
      <c r="CI42" s="1040">
        <v>14</v>
      </c>
      <c r="CJ42" s="1040">
        <v>2</v>
      </c>
      <c r="CK42" s="1228">
        <v>4</v>
      </c>
      <c r="CL42" s="1228">
        <v>3</v>
      </c>
      <c r="CM42" s="1040">
        <v>63</v>
      </c>
      <c r="CN42" s="1228">
        <v>22650</v>
      </c>
      <c r="CO42" s="1228">
        <v>318</v>
      </c>
      <c r="CP42" s="1228">
        <v>128</v>
      </c>
      <c r="CQ42" s="1108">
        <v>92</v>
      </c>
      <c r="CR42" s="1180"/>
      <c r="CS42" s="1039">
        <v>49</v>
      </c>
      <c r="CT42" s="1228">
        <v>19</v>
      </c>
      <c r="CU42" s="1228" t="s">
        <v>143</v>
      </c>
      <c r="CV42" s="1228">
        <v>13</v>
      </c>
      <c r="CW42" s="1228">
        <v>2</v>
      </c>
      <c r="CX42" s="1232">
        <v>15</v>
      </c>
      <c r="CY42" s="1232" t="s">
        <v>143</v>
      </c>
      <c r="CZ42" s="1040">
        <v>795064.09000000067</v>
      </c>
      <c r="DA42" s="1108">
        <v>18360.260000000002</v>
      </c>
    </row>
    <row r="43" spans="1:105" s="1078" customFormat="1" ht="15.75" customHeight="1" x14ac:dyDescent="0.2">
      <c r="A43" s="1093" t="s">
        <v>191</v>
      </c>
      <c r="B43" s="1038">
        <v>7</v>
      </c>
      <c r="C43" s="1094">
        <v>489</v>
      </c>
      <c r="D43" s="1094">
        <v>47</v>
      </c>
      <c r="E43" s="1094">
        <v>15</v>
      </c>
      <c r="F43" s="1094">
        <v>4</v>
      </c>
      <c r="G43" s="1094">
        <v>3305</v>
      </c>
      <c r="H43" s="1094">
        <v>749</v>
      </c>
      <c r="I43" s="1175">
        <v>232</v>
      </c>
      <c r="J43" s="1038">
        <v>45</v>
      </c>
      <c r="K43" s="1027">
        <v>20678</v>
      </c>
      <c r="L43" s="1219">
        <v>1466</v>
      </c>
      <c r="M43" s="1027">
        <v>1</v>
      </c>
      <c r="N43" s="1027">
        <v>572</v>
      </c>
      <c r="O43" s="1027">
        <v>34</v>
      </c>
      <c r="P43" s="1219">
        <v>19</v>
      </c>
      <c r="Q43" s="1027">
        <v>10144</v>
      </c>
      <c r="R43" s="1027">
        <v>740</v>
      </c>
      <c r="S43" s="1027">
        <v>2</v>
      </c>
      <c r="T43" s="1027">
        <v>505</v>
      </c>
      <c r="U43" s="1117">
        <v>39</v>
      </c>
      <c r="V43" s="1094" t="s">
        <v>143</v>
      </c>
      <c r="W43" s="1219" t="s">
        <v>143</v>
      </c>
      <c r="X43" s="1219" t="s">
        <v>143</v>
      </c>
      <c r="Y43" s="1219" t="s">
        <v>143</v>
      </c>
      <c r="Z43" s="1219" t="s">
        <v>143</v>
      </c>
      <c r="AA43" s="1219" t="s">
        <v>143</v>
      </c>
      <c r="AB43" s="1027" t="s">
        <v>143</v>
      </c>
      <c r="AC43" s="1027" t="s">
        <v>143</v>
      </c>
      <c r="AD43" s="1219" t="s">
        <v>143</v>
      </c>
      <c r="AE43" s="1027">
        <v>2</v>
      </c>
      <c r="AF43" s="1027">
        <v>2295</v>
      </c>
      <c r="AG43" s="1117">
        <v>123</v>
      </c>
      <c r="AH43" s="1038" t="s">
        <v>143</v>
      </c>
      <c r="AI43" s="1027" t="s">
        <v>143</v>
      </c>
      <c r="AJ43" s="1027" t="s">
        <v>143</v>
      </c>
      <c r="AK43" s="1027" t="s">
        <v>143</v>
      </c>
      <c r="AL43" s="1027" t="s">
        <v>143</v>
      </c>
      <c r="AM43" s="1219" t="s">
        <v>143</v>
      </c>
      <c r="AN43" s="1027" t="s">
        <v>143</v>
      </c>
      <c r="AO43" s="1027" t="s">
        <v>143</v>
      </c>
      <c r="AP43" s="1219">
        <v>2</v>
      </c>
      <c r="AQ43" s="1219">
        <v>18</v>
      </c>
      <c r="AR43" s="1027">
        <v>1228572</v>
      </c>
      <c r="AS43" s="1222">
        <v>307.2</v>
      </c>
      <c r="AT43" s="1117">
        <v>3332283</v>
      </c>
      <c r="AU43" s="1094" t="s">
        <v>143</v>
      </c>
      <c r="AV43" s="1027" t="s">
        <v>143</v>
      </c>
      <c r="AW43" s="1027" t="s">
        <v>143</v>
      </c>
      <c r="AX43" s="1219" t="s">
        <v>143</v>
      </c>
      <c r="AY43" s="1027" t="s">
        <v>143</v>
      </c>
      <c r="AZ43" s="1027" t="s">
        <v>143</v>
      </c>
      <c r="BA43" s="1027" t="s">
        <v>143</v>
      </c>
      <c r="BB43" s="1027" t="s">
        <v>143</v>
      </c>
      <c r="BC43" s="1027" t="s">
        <v>143</v>
      </c>
      <c r="BD43" s="1027" t="s">
        <v>143</v>
      </c>
      <c r="BE43" s="1117" t="s">
        <v>143</v>
      </c>
      <c r="BF43" s="1180"/>
      <c r="BG43" s="1038">
        <v>4</v>
      </c>
      <c r="BH43" s="1027">
        <v>17904</v>
      </c>
      <c r="BI43" s="1027">
        <v>1</v>
      </c>
      <c r="BJ43" s="1219">
        <v>25462</v>
      </c>
      <c r="BK43" s="1027">
        <v>1</v>
      </c>
      <c r="BL43" s="1027">
        <v>1</v>
      </c>
      <c r="BM43" s="1027">
        <v>11220</v>
      </c>
      <c r="BN43" s="1027">
        <v>2</v>
      </c>
      <c r="BO43" s="1027">
        <v>10591</v>
      </c>
      <c r="BP43" s="1027">
        <v>5</v>
      </c>
      <c r="BQ43" s="1117">
        <v>21</v>
      </c>
      <c r="BR43" s="1180"/>
      <c r="BS43" s="1223">
        <v>1</v>
      </c>
      <c r="BT43" s="1249" t="s">
        <v>582</v>
      </c>
      <c r="BU43" s="1225"/>
      <c r="BV43" s="1038">
        <v>45</v>
      </c>
      <c r="BW43" s="1027">
        <v>5248</v>
      </c>
      <c r="BX43" s="1027">
        <v>4663</v>
      </c>
      <c r="BY43" s="1094" t="s">
        <v>143</v>
      </c>
      <c r="BZ43" s="1027" t="s">
        <v>143</v>
      </c>
      <c r="CA43" s="1027" t="s">
        <v>143</v>
      </c>
      <c r="CB43" s="1094" t="s">
        <v>143</v>
      </c>
      <c r="CC43" s="1027" t="s">
        <v>143</v>
      </c>
      <c r="CD43" s="1117" t="s">
        <v>143</v>
      </c>
      <c r="CE43" s="1180"/>
      <c r="CF43" s="1038">
        <v>670</v>
      </c>
      <c r="CG43" s="1027">
        <v>32</v>
      </c>
      <c r="CH43" s="1027">
        <v>14</v>
      </c>
      <c r="CI43" s="1027">
        <v>10</v>
      </c>
      <c r="CJ43" s="1027">
        <v>3</v>
      </c>
      <c r="CK43" s="1219">
        <v>0</v>
      </c>
      <c r="CL43" s="1219">
        <v>15</v>
      </c>
      <c r="CM43" s="1027">
        <v>100</v>
      </c>
      <c r="CN43" s="1219">
        <v>22723</v>
      </c>
      <c r="CO43" s="1219">
        <v>139</v>
      </c>
      <c r="CP43" s="1219">
        <v>54</v>
      </c>
      <c r="CQ43" s="1117">
        <v>72</v>
      </c>
      <c r="CR43" s="1180"/>
      <c r="CS43" s="1038">
        <f>SUM(CT43:CY43)</f>
        <v>56</v>
      </c>
      <c r="CT43" s="1219">
        <v>10</v>
      </c>
      <c r="CU43" s="1219">
        <v>0</v>
      </c>
      <c r="CV43" s="1219">
        <v>23</v>
      </c>
      <c r="CW43" s="1219">
        <v>14</v>
      </c>
      <c r="CX43" s="1226">
        <v>9</v>
      </c>
      <c r="CY43" s="1226">
        <v>0</v>
      </c>
      <c r="CZ43" s="1027">
        <v>729919</v>
      </c>
      <c r="DA43" s="1117">
        <v>2860</v>
      </c>
    </row>
    <row r="44" spans="1:105" s="1078" customFormat="1" ht="15.75" customHeight="1" x14ac:dyDescent="0.2">
      <c r="A44" s="1106" t="s">
        <v>253</v>
      </c>
      <c r="B44" s="1039">
        <v>3</v>
      </c>
      <c r="C44" s="1107">
        <v>61</v>
      </c>
      <c r="D44" s="1107">
        <v>9</v>
      </c>
      <c r="E44" s="1107">
        <v>1</v>
      </c>
      <c r="F44" s="1107" t="s">
        <v>143</v>
      </c>
      <c r="G44" s="1107">
        <v>505</v>
      </c>
      <c r="H44" s="1107">
        <v>505</v>
      </c>
      <c r="I44" s="1227">
        <v>22</v>
      </c>
      <c r="J44" s="1039">
        <v>27</v>
      </c>
      <c r="K44" s="1040">
        <v>12762</v>
      </c>
      <c r="L44" s="1228">
        <v>806</v>
      </c>
      <c r="M44" s="1040" t="s">
        <v>143</v>
      </c>
      <c r="N44" s="1040" t="s">
        <v>143</v>
      </c>
      <c r="O44" s="1040" t="s">
        <v>143</v>
      </c>
      <c r="P44" s="1228">
        <v>14</v>
      </c>
      <c r="Q44" s="1040">
        <v>6183</v>
      </c>
      <c r="R44" s="1040">
        <v>493</v>
      </c>
      <c r="S44" s="1040" t="s">
        <v>143</v>
      </c>
      <c r="T44" s="1040" t="s">
        <v>143</v>
      </c>
      <c r="U44" s="1108" t="s">
        <v>143</v>
      </c>
      <c r="V44" s="1107">
        <v>1</v>
      </c>
      <c r="W44" s="1040">
        <v>424</v>
      </c>
      <c r="X44" s="1040">
        <v>42</v>
      </c>
      <c r="Y44" s="1040" t="s">
        <v>143</v>
      </c>
      <c r="Z44" s="1040" t="s">
        <v>143</v>
      </c>
      <c r="AA44" s="1040" t="s">
        <v>143</v>
      </c>
      <c r="AB44" s="1040">
        <v>0</v>
      </c>
      <c r="AC44" s="1040">
        <v>0</v>
      </c>
      <c r="AD44" s="1040">
        <v>0</v>
      </c>
      <c r="AE44" s="1040">
        <v>5</v>
      </c>
      <c r="AF44" s="1040">
        <v>3748</v>
      </c>
      <c r="AG44" s="1108">
        <v>283</v>
      </c>
      <c r="AH44" s="1039">
        <v>0</v>
      </c>
      <c r="AI44" s="1040">
        <v>0</v>
      </c>
      <c r="AJ44" s="1040">
        <v>0</v>
      </c>
      <c r="AK44" s="1040" t="s">
        <v>143</v>
      </c>
      <c r="AL44" s="1040" t="s">
        <v>143</v>
      </c>
      <c r="AM44" s="1228" t="s">
        <v>143</v>
      </c>
      <c r="AN44" s="1040" t="s">
        <v>143</v>
      </c>
      <c r="AO44" s="1040" t="s">
        <v>143</v>
      </c>
      <c r="AP44" s="1228">
        <v>0</v>
      </c>
      <c r="AQ44" s="1228">
        <v>4</v>
      </c>
      <c r="AR44" s="1040">
        <v>741383</v>
      </c>
      <c r="AS44" s="1233">
        <v>278.8</v>
      </c>
      <c r="AT44" s="1108">
        <v>1735678</v>
      </c>
      <c r="AU44" s="1107">
        <v>4</v>
      </c>
      <c r="AV44" s="1040" t="s">
        <v>143</v>
      </c>
      <c r="AW44" s="1040" t="s">
        <v>143</v>
      </c>
      <c r="AX44" s="1228">
        <v>4</v>
      </c>
      <c r="AY44" s="1040" t="s">
        <v>143</v>
      </c>
      <c r="AZ44" s="1040" t="s">
        <v>143</v>
      </c>
      <c r="BA44" s="1040" t="s">
        <v>143</v>
      </c>
      <c r="BB44" s="1040" t="s">
        <v>143</v>
      </c>
      <c r="BC44" s="1040" t="s">
        <v>143</v>
      </c>
      <c r="BD44" s="1040" t="s">
        <v>143</v>
      </c>
      <c r="BE44" s="1108">
        <v>0</v>
      </c>
      <c r="BF44" s="1180"/>
      <c r="BG44" s="1039">
        <v>2</v>
      </c>
      <c r="BH44" s="1040">
        <v>15776</v>
      </c>
      <c r="BI44" s="1040">
        <v>0</v>
      </c>
      <c r="BJ44" s="1228">
        <v>0</v>
      </c>
      <c r="BK44" s="1040">
        <v>2</v>
      </c>
      <c r="BL44" s="1040">
        <v>2</v>
      </c>
      <c r="BM44" s="1040">
        <v>18365</v>
      </c>
      <c r="BN44" s="1040">
        <v>1</v>
      </c>
      <c r="BO44" s="1040">
        <v>454</v>
      </c>
      <c r="BP44" s="1040">
        <v>2</v>
      </c>
      <c r="BQ44" s="1108">
        <v>8</v>
      </c>
      <c r="BR44" s="1180"/>
      <c r="BS44" s="1230">
        <v>1</v>
      </c>
      <c r="BT44" s="1272">
        <v>1440</v>
      </c>
      <c r="BU44" s="1225"/>
      <c r="BV44" s="1035">
        <v>80</v>
      </c>
      <c r="BW44" s="1040">
        <v>4000</v>
      </c>
      <c r="BX44" s="1032">
        <v>3852</v>
      </c>
      <c r="BY44" s="1180" t="s">
        <v>143</v>
      </c>
      <c r="BZ44" s="1032" t="s">
        <v>143</v>
      </c>
      <c r="CA44" s="1119" t="s">
        <v>143</v>
      </c>
      <c r="CB44" s="1032">
        <v>2</v>
      </c>
      <c r="CC44" s="1032">
        <v>78</v>
      </c>
      <c r="CD44" s="1034">
        <v>45</v>
      </c>
      <c r="CE44" s="1180"/>
      <c r="CF44" s="1039">
        <v>256</v>
      </c>
      <c r="CG44" s="1040">
        <v>31</v>
      </c>
      <c r="CH44" s="1040">
        <v>8</v>
      </c>
      <c r="CI44" s="1040">
        <v>8</v>
      </c>
      <c r="CJ44" s="1040">
        <v>1</v>
      </c>
      <c r="CK44" s="1228" t="s">
        <v>143</v>
      </c>
      <c r="CL44" s="1228">
        <v>5</v>
      </c>
      <c r="CM44" s="1040">
        <v>48</v>
      </c>
      <c r="CN44" s="1228">
        <v>17121</v>
      </c>
      <c r="CO44" s="1228">
        <v>133</v>
      </c>
      <c r="CP44" s="1228">
        <v>119</v>
      </c>
      <c r="CQ44" s="1108">
        <v>48</v>
      </c>
      <c r="CR44" s="1180"/>
      <c r="CS44" s="1039">
        <v>38</v>
      </c>
      <c r="CT44" s="1228">
        <v>11</v>
      </c>
      <c r="CU44" s="1228">
        <v>0</v>
      </c>
      <c r="CV44" s="1228">
        <v>8</v>
      </c>
      <c r="CW44" s="1228">
        <v>10</v>
      </c>
      <c r="CX44" s="1232">
        <v>9</v>
      </c>
      <c r="CY44" s="1232">
        <v>0</v>
      </c>
      <c r="CZ44" s="1040">
        <v>680801</v>
      </c>
      <c r="DA44" s="1108">
        <v>7047</v>
      </c>
    </row>
    <row r="45" spans="1:105" s="1078" customFormat="1" ht="15.75" customHeight="1" x14ac:dyDescent="0.2">
      <c r="A45" s="1093" t="s">
        <v>193</v>
      </c>
      <c r="B45" s="1038">
        <v>4</v>
      </c>
      <c r="C45" s="1094">
        <v>119</v>
      </c>
      <c r="D45" s="1094">
        <v>28</v>
      </c>
      <c r="E45" s="1094">
        <v>5</v>
      </c>
      <c r="F45" s="1094" t="s">
        <v>143</v>
      </c>
      <c r="G45" s="1094">
        <v>1309</v>
      </c>
      <c r="H45" s="1094" t="s">
        <v>143</v>
      </c>
      <c r="I45" s="1175">
        <v>83</v>
      </c>
      <c r="J45" s="1038">
        <v>24</v>
      </c>
      <c r="K45" s="1027">
        <v>10715</v>
      </c>
      <c r="L45" s="1219">
        <v>757</v>
      </c>
      <c r="M45" s="1027">
        <v>1</v>
      </c>
      <c r="N45" s="1027">
        <v>513</v>
      </c>
      <c r="O45" s="1027">
        <v>40</v>
      </c>
      <c r="P45" s="1219">
        <v>12</v>
      </c>
      <c r="Q45" s="1027">
        <v>5278</v>
      </c>
      <c r="R45" s="1027">
        <v>406</v>
      </c>
      <c r="S45" s="1027">
        <v>2</v>
      </c>
      <c r="T45" s="1027">
        <v>899</v>
      </c>
      <c r="U45" s="1117">
        <v>55</v>
      </c>
      <c r="V45" s="1094" t="s">
        <v>143</v>
      </c>
      <c r="W45" s="1027" t="s">
        <v>143</v>
      </c>
      <c r="X45" s="1027" t="s">
        <v>143</v>
      </c>
      <c r="Y45" s="1219" t="s">
        <v>143</v>
      </c>
      <c r="Z45" s="1219" t="s">
        <v>143</v>
      </c>
      <c r="AA45" s="1219" t="s">
        <v>143</v>
      </c>
      <c r="AB45" s="1027" t="s">
        <v>143</v>
      </c>
      <c r="AC45" s="1027" t="s">
        <v>143</v>
      </c>
      <c r="AD45" s="1027" t="s">
        <v>143</v>
      </c>
      <c r="AE45" s="1219">
        <v>5</v>
      </c>
      <c r="AF45" s="1219">
        <v>4158</v>
      </c>
      <c r="AG45" s="1117">
        <v>273</v>
      </c>
      <c r="AH45" s="1038" t="s">
        <v>143</v>
      </c>
      <c r="AI45" s="1027" t="s">
        <v>143</v>
      </c>
      <c r="AJ45" s="1027" t="s">
        <v>143</v>
      </c>
      <c r="AK45" s="1027" t="s">
        <v>143</v>
      </c>
      <c r="AL45" s="1027" t="s">
        <v>143</v>
      </c>
      <c r="AM45" s="1219" t="s">
        <v>143</v>
      </c>
      <c r="AN45" s="1027" t="s">
        <v>143</v>
      </c>
      <c r="AO45" s="1027" t="s">
        <v>143</v>
      </c>
      <c r="AP45" s="1219">
        <v>1</v>
      </c>
      <c r="AQ45" s="1219">
        <v>3</v>
      </c>
      <c r="AR45" s="1027">
        <v>546479</v>
      </c>
      <c r="AS45" s="1222">
        <v>236.4</v>
      </c>
      <c r="AT45" s="1117">
        <v>857316</v>
      </c>
      <c r="AU45" s="1094" t="s">
        <v>143</v>
      </c>
      <c r="AV45" s="1027" t="s">
        <v>143</v>
      </c>
      <c r="AW45" s="1027" t="s">
        <v>143</v>
      </c>
      <c r="AX45" s="1219">
        <v>1</v>
      </c>
      <c r="AY45" s="1027" t="s">
        <v>143</v>
      </c>
      <c r="AZ45" s="1027" t="s">
        <v>143</v>
      </c>
      <c r="BA45" s="1027" t="s">
        <v>143</v>
      </c>
      <c r="BB45" s="1027" t="s">
        <v>143</v>
      </c>
      <c r="BC45" s="1027" t="s">
        <v>143</v>
      </c>
      <c r="BD45" s="1027" t="s">
        <v>143</v>
      </c>
      <c r="BE45" s="1117">
        <v>1</v>
      </c>
      <c r="BF45" s="1180"/>
      <c r="BG45" s="1038">
        <v>2</v>
      </c>
      <c r="BH45" s="1027">
        <v>8755</v>
      </c>
      <c r="BI45" s="1027" t="s">
        <v>143</v>
      </c>
      <c r="BJ45" s="1219" t="s">
        <v>143</v>
      </c>
      <c r="BK45" s="1027" t="s">
        <v>143</v>
      </c>
      <c r="BL45" s="1027" t="s">
        <v>143</v>
      </c>
      <c r="BM45" s="1027" t="s">
        <v>143</v>
      </c>
      <c r="BN45" s="1027" t="s">
        <v>143</v>
      </c>
      <c r="BO45" s="1027" t="s">
        <v>143</v>
      </c>
      <c r="BP45" s="1027" t="s">
        <v>143</v>
      </c>
      <c r="BQ45" s="1117" t="s">
        <v>143</v>
      </c>
      <c r="BR45" s="1180"/>
      <c r="BS45" s="1223">
        <v>2</v>
      </c>
      <c r="BT45" s="1271">
        <v>1209</v>
      </c>
      <c r="BU45" s="1225"/>
      <c r="BV45" s="1098">
        <v>41</v>
      </c>
      <c r="BW45" s="1027">
        <v>2550</v>
      </c>
      <c r="BX45" s="1027">
        <v>2092</v>
      </c>
      <c r="BY45" s="1027" t="s">
        <v>143</v>
      </c>
      <c r="BZ45" s="1273" t="s">
        <v>143</v>
      </c>
      <c r="CA45" s="1094" t="s">
        <v>143</v>
      </c>
      <c r="CB45" s="1094" t="s">
        <v>143</v>
      </c>
      <c r="CC45" s="1094" t="s">
        <v>143</v>
      </c>
      <c r="CD45" s="1117" t="s">
        <v>143</v>
      </c>
      <c r="CE45" s="1180"/>
      <c r="CF45" s="1038">
        <v>194</v>
      </c>
      <c r="CG45" s="1027">
        <v>24</v>
      </c>
      <c r="CH45" s="1027">
        <v>9</v>
      </c>
      <c r="CI45" s="1027">
        <v>9</v>
      </c>
      <c r="CJ45" s="1027">
        <v>1</v>
      </c>
      <c r="CK45" s="1219" t="s">
        <v>143</v>
      </c>
      <c r="CL45" s="1219">
        <v>6</v>
      </c>
      <c r="CM45" s="1027">
        <v>67</v>
      </c>
      <c r="CN45" s="1219">
        <v>15075</v>
      </c>
      <c r="CO45" s="1219">
        <v>64</v>
      </c>
      <c r="CP45" s="1219">
        <v>57</v>
      </c>
      <c r="CQ45" s="1117">
        <v>56</v>
      </c>
      <c r="CR45" s="1180"/>
      <c r="CS45" s="1038">
        <v>41</v>
      </c>
      <c r="CT45" s="1219">
        <v>2</v>
      </c>
      <c r="CU45" s="1219" t="s">
        <v>143</v>
      </c>
      <c r="CV45" s="1219">
        <v>19</v>
      </c>
      <c r="CW45" s="1219">
        <v>10</v>
      </c>
      <c r="CX45" s="1226">
        <v>9</v>
      </c>
      <c r="CY45" s="1226">
        <v>1</v>
      </c>
      <c r="CZ45" s="1027">
        <v>411372</v>
      </c>
      <c r="DA45" s="1117">
        <v>12266</v>
      </c>
    </row>
    <row r="46" spans="1:105" s="1078" customFormat="1" ht="15.75" customHeight="1" x14ac:dyDescent="0.2">
      <c r="A46" s="1106" t="s">
        <v>194</v>
      </c>
      <c r="B46" s="1036">
        <v>6</v>
      </c>
      <c r="C46" s="1119">
        <v>484</v>
      </c>
      <c r="D46" s="1119">
        <v>50</v>
      </c>
      <c r="E46" s="1242">
        <v>11</v>
      </c>
      <c r="F46" s="1242">
        <v>4</v>
      </c>
      <c r="G46" s="1242">
        <v>1514</v>
      </c>
      <c r="H46" s="1242">
        <v>1419</v>
      </c>
      <c r="I46" s="1243">
        <v>154</v>
      </c>
      <c r="J46" s="1036">
        <v>49</v>
      </c>
      <c r="K46" s="1032">
        <v>20440</v>
      </c>
      <c r="L46" s="1033">
        <v>1340</v>
      </c>
      <c r="M46" s="1134" t="s">
        <v>143</v>
      </c>
      <c r="N46" s="1134" t="s">
        <v>143</v>
      </c>
      <c r="O46" s="1134" t="s">
        <v>143</v>
      </c>
      <c r="P46" s="1033">
        <v>23</v>
      </c>
      <c r="Q46" s="1032">
        <v>10273</v>
      </c>
      <c r="R46" s="1032">
        <v>792</v>
      </c>
      <c r="S46" s="1134">
        <v>2</v>
      </c>
      <c r="T46" s="1134">
        <v>1101</v>
      </c>
      <c r="U46" s="1245">
        <v>62</v>
      </c>
      <c r="V46" s="1107">
        <v>2</v>
      </c>
      <c r="W46" s="1040">
        <v>1835</v>
      </c>
      <c r="X46" s="1040">
        <v>126</v>
      </c>
      <c r="Y46" s="1134" t="s">
        <v>143</v>
      </c>
      <c r="Z46" s="1134" t="s">
        <v>143</v>
      </c>
      <c r="AA46" s="1134" t="s">
        <v>143</v>
      </c>
      <c r="AB46" s="1040">
        <v>1</v>
      </c>
      <c r="AC46" s="1040">
        <v>777</v>
      </c>
      <c r="AD46" s="1040">
        <v>69</v>
      </c>
      <c r="AE46" s="1134">
        <v>13</v>
      </c>
      <c r="AF46" s="1134">
        <v>11890</v>
      </c>
      <c r="AG46" s="1245">
        <v>918</v>
      </c>
      <c r="AH46" s="1039">
        <v>1</v>
      </c>
      <c r="AI46" s="1040">
        <v>4</v>
      </c>
      <c r="AJ46" s="1040">
        <v>6</v>
      </c>
      <c r="AK46" s="1134">
        <v>1</v>
      </c>
      <c r="AL46" s="1134">
        <v>82</v>
      </c>
      <c r="AM46" s="1134">
        <v>19</v>
      </c>
      <c r="AN46" s="1040" t="s">
        <v>143</v>
      </c>
      <c r="AO46" s="1040" t="s">
        <v>143</v>
      </c>
      <c r="AP46" s="1228">
        <v>2</v>
      </c>
      <c r="AQ46" s="1033">
        <v>3</v>
      </c>
      <c r="AR46" s="1032">
        <v>806735</v>
      </c>
      <c r="AS46" s="1233">
        <v>163.4</v>
      </c>
      <c r="AT46" s="1034">
        <v>1759009</v>
      </c>
      <c r="AU46" s="1107">
        <v>6</v>
      </c>
      <c r="AV46" s="1040" t="s">
        <v>143</v>
      </c>
      <c r="AW46" s="1040" t="s">
        <v>143</v>
      </c>
      <c r="AX46" s="1228">
        <v>6</v>
      </c>
      <c r="AY46" s="1040" t="s">
        <v>143</v>
      </c>
      <c r="AZ46" s="1040" t="s">
        <v>143</v>
      </c>
      <c r="BA46" s="1040" t="s">
        <v>143</v>
      </c>
      <c r="BB46" s="1040" t="s">
        <v>143</v>
      </c>
      <c r="BC46" s="1040" t="s">
        <v>143</v>
      </c>
      <c r="BD46" s="1040" t="s">
        <v>143</v>
      </c>
      <c r="BE46" s="1108">
        <v>30</v>
      </c>
      <c r="BF46" s="1180"/>
      <c r="BG46" s="1036">
        <v>2</v>
      </c>
      <c r="BH46" s="1032">
        <v>16393</v>
      </c>
      <c r="BI46" s="1032">
        <v>1</v>
      </c>
      <c r="BJ46" s="1033">
        <v>13500</v>
      </c>
      <c r="BK46" s="1032">
        <v>7</v>
      </c>
      <c r="BL46" s="1032">
        <v>7</v>
      </c>
      <c r="BM46" s="1032">
        <v>58931</v>
      </c>
      <c r="BN46" s="1032">
        <v>1</v>
      </c>
      <c r="BO46" s="1032">
        <v>803</v>
      </c>
      <c r="BP46" s="1032">
        <v>4</v>
      </c>
      <c r="BQ46" s="1034">
        <v>16</v>
      </c>
      <c r="BR46" s="1180"/>
      <c r="BS46" s="1036">
        <v>1</v>
      </c>
      <c r="BT46" s="1034">
        <v>1500</v>
      </c>
      <c r="BU46" s="1225"/>
      <c r="BV46" s="1036" t="s">
        <v>143</v>
      </c>
      <c r="BW46" s="1032" t="s">
        <v>143</v>
      </c>
      <c r="BX46" s="1032" t="s">
        <v>143</v>
      </c>
      <c r="BY46" s="1033">
        <v>50</v>
      </c>
      <c r="BZ46" s="1033">
        <v>4536</v>
      </c>
      <c r="CA46" s="1032">
        <v>3920</v>
      </c>
      <c r="CB46" s="1032">
        <v>7</v>
      </c>
      <c r="CC46" s="1032">
        <v>207</v>
      </c>
      <c r="CD46" s="1034">
        <v>149</v>
      </c>
      <c r="CE46" s="1180"/>
      <c r="CF46" s="1039">
        <v>509</v>
      </c>
      <c r="CG46" s="1040">
        <v>66</v>
      </c>
      <c r="CH46" s="1040">
        <v>17</v>
      </c>
      <c r="CI46" s="1040">
        <v>17</v>
      </c>
      <c r="CJ46" s="1040">
        <v>3</v>
      </c>
      <c r="CK46" s="1244">
        <v>3</v>
      </c>
      <c r="CL46" s="1228">
        <v>9</v>
      </c>
      <c r="CM46" s="1040">
        <v>157</v>
      </c>
      <c r="CN46" s="1228">
        <v>32361</v>
      </c>
      <c r="CO46" s="1228">
        <v>270</v>
      </c>
      <c r="CP46" s="1228">
        <v>207</v>
      </c>
      <c r="CQ46" s="1108">
        <v>101</v>
      </c>
      <c r="CR46" s="1180"/>
      <c r="CS46" s="1036">
        <v>91</v>
      </c>
      <c r="CT46" s="1033">
        <v>5</v>
      </c>
      <c r="CU46" s="1033">
        <v>2</v>
      </c>
      <c r="CV46" s="1033">
        <v>66</v>
      </c>
      <c r="CW46" s="1033">
        <v>13</v>
      </c>
      <c r="CX46" s="1236">
        <v>5</v>
      </c>
      <c r="CY46" s="1236" t="s">
        <v>143</v>
      </c>
      <c r="CZ46" s="1040">
        <v>1157384</v>
      </c>
      <c r="DA46" s="1108">
        <v>11272</v>
      </c>
    </row>
    <row r="47" spans="1:105" s="1078" customFormat="1" ht="15.75" customHeight="1" x14ac:dyDescent="0.2">
      <c r="A47" s="1093" t="s">
        <v>195</v>
      </c>
      <c r="B47" s="1038">
        <v>35</v>
      </c>
      <c r="C47" s="1094">
        <v>1639</v>
      </c>
      <c r="D47" s="1094">
        <v>126</v>
      </c>
      <c r="E47" s="1094">
        <v>7</v>
      </c>
      <c r="F47" s="1027" t="s">
        <v>152</v>
      </c>
      <c r="G47" s="1126">
        <v>882</v>
      </c>
      <c r="H47" s="1027" t="s">
        <v>152</v>
      </c>
      <c r="I47" s="1175">
        <v>101</v>
      </c>
      <c r="J47" s="1038">
        <v>66</v>
      </c>
      <c r="K47" s="1027">
        <v>27713</v>
      </c>
      <c r="L47" s="1219">
        <v>804</v>
      </c>
      <c r="M47" s="1219" t="s">
        <v>143</v>
      </c>
      <c r="N47" s="1219" t="s">
        <v>143</v>
      </c>
      <c r="O47" s="1027" t="s">
        <v>143</v>
      </c>
      <c r="P47" s="1219">
        <v>32</v>
      </c>
      <c r="Q47" s="1027">
        <v>13267</v>
      </c>
      <c r="R47" s="1027">
        <v>990</v>
      </c>
      <c r="S47" s="1027">
        <v>5</v>
      </c>
      <c r="T47" s="1027">
        <v>900</v>
      </c>
      <c r="U47" s="1117">
        <v>62</v>
      </c>
      <c r="V47" s="1174">
        <v>3</v>
      </c>
      <c r="W47" s="1219">
        <v>2176</v>
      </c>
      <c r="X47" s="1219">
        <v>185</v>
      </c>
      <c r="Y47" s="1219" t="s">
        <v>143</v>
      </c>
      <c r="Z47" s="1219" t="s">
        <v>143</v>
      </c>
      <c r="AA47" s="1027" t="s">
        <v>143</v>
      </c>
      <c r="AB47" s="1027">
        <v>3</v>
      </c>
      <c r="AC47" s="1027">
        <v>2267</v>
      </c>
      <c r="AD47" s="1027">
        <v>116</v>
      </c>
      <c r="AE47" s="1027">
        <v>17</v>
      </c>
      <c r="AF47" s="1027">
        <v>9706</v>
      </c>
      <c r="AG47" s="1117">
        <v>1094</v>
      </c>
      <c r="AH47" s="1038" t="s">
        <v>143</v>
      </c>
      <c r="AI47" s="1027" t="s">
        <v>143</v>
      </c>
      <c r="AJ47" s="1027" t="s">
        <v>143</v>
      </c>
      <c r="AK47" s="1027">
        <v>2</v>
      </c>
      <c r="AL47" s="1027">
        <v>910</v>
      </c>
      <c r="AM47" s="1219">
        <v>119</v>
      </c>
      <c r="AN47" s="1219" t="s">
        <v>143</v>
      </c>
      <c r="AO47" s="1027" t="s">
        <v>143</v>
      </c>
      <c r="AP47" s="1219">
        <v>1</v>
      </c>
      <c r="AQ47" s="1219">
        <v>15</v>
      </c>
      <c r="AR47" s="1027">
        <v>1351397</v>
      </c>
      <c r="AS47" s="1222">
        <v>255.6</v>
      </c>
      <c r="AT47" s="1117">
        <v>2170435</v>
      </c>
      <c r="AU47" s="1094">
        <v>15</v>
      </c>
      <c r="AV47" s="1027" t="s">
        <v>143</v>
      </c>
      <c r="AW47" s="1027">
        <v>2</v>
      </c>
      <c r="AX47" s="1219">
        <v>5</v>
      </c>
      <c r="AY47" s="1027">
        <v>4</v>
      </c>
      <c r="AZ47" s="1027" t="s">
        <v>143</v>
      </c>
      <c r="BA47" s="1027">
        <v>2</v>
      </c>
      <c r="BB47" s="1027">
        <v>1</v>
      </c>
      <c r="BC47" s="1027" t="s">
        <v>143</v>
      </c>
      <c r="BD47" s="1027">
        <v>1</v>
      </c>
      <c r="BE47" s="1117">
        <v>68</v>
      </c>
      <c r="BF47" s="1180"/>
      <c r="BG47" s="1038">
        <v>8</v>
      </c>
      <c r="BH47" s="1027">
        <v>32880</v>
      </c>
      <c r="BI47" s="1027">
        <v>1</v>
      </c>
      <c r="BJ47" s="1219">
        <v>39600</v>
      </c>
      <c r="BK47" s="1027">
        <v>8</v>
      </c>
      <c r="BL47" s="1027">
        <v>9</v>
      </c>
      <c r="BM47" s="1027">
        <v>139175</v>
      </c>
      <c r="BN47" s="1027">
        <v>5</v>
      </c>
      <c r="BO47" s="1027">
        <v>2079</v>
      </c>
      <c r="BP47" s="1027">
        <v>9</v>
      </c>
      <c r="BQ47" s="1117">
        <v>37</v>
      </c>
      <c r="BR47" s="1180"/>
      <c r="BS47" s="1417">
        <v>18</v>
      </c>
      <c r="BT47" s="1274">
        <v>1657</v>
      </c>
      <c r="BU47" s="1225"/>
      <c r="BV47" s="1038">
        <v>133</v>
      </c>
      <c r="BW47" s="1027">
        <v>5560</v>
      </c>
      <c r="BX47" s="1027">
        <v>4378</v>
      </c>
      <c r="BY47" s="1094" t="s">
        <v>143</v>
      </c>
      <c r="BZ47" s="1027" t="s">
        <v>143</v>
      </c>
      <c r="CA47" s="1027" t="s">
        <v>143</v>
      </c>
      <c r="CB47" s="1094">
        <v>9</v>
      </c>
      <c r="CC47" s="1027">
        <v>287</v>
      </c>
      <c r="CD47" s="1117">
        <v>223</v>
      </c>
      <c r="CE47" s="1180"/>
      <c r="CF47" s="1098">
        <v>569</v>
      </c>
      <c r="CG47" s="1027">
        <v>58</v>
      </c>
      <c r="CH47" s="1027">
        <v>21</v>
      </c>
      <c r="CI47" s="1027">
        <v>19</v>
      </c>
      <c r="CJ47" s="1027">
        <v>5</v>
      </c>
      <c r="CK47" s="1027">
        <v>2</v>
      </c>
      <c r="CL47" s="1027">
        <v>13</v>
      </c>
      <c r="CM47" s="1027">
        <v>176</v>
      </c>
      <c r="CN47" s="1219">
        <v>26476</v>
      </c>
      <c r="CO47" s="1219">
        <v>531</v>
      </c>
      <c r="CP47" s="1219">
        <v>342</v>
      </c>
      <c r="CQ47" s="1117">
        <v>255</v>
      </c>
      <c r="CR47" s="1180"/>
      <c r="CS47" s="1098">
        <v>99</v>
      </c>
      <c r="CT47" s="1219">
        <v>33</v>
      </c>
      <c r="CU47" s="1219">
        <v>3</v>
      </c>
      <c r="CV47" s="1219">
        <v>11</v>
      </c>
      <c r="CW47" s="1219">
        <v>27</v>
      </c>
      <c r="CX47" s="1027">
        <v>25</v>
      </c>
      <c r="CY47" s="1027">
        <v>0</v>
      </c>
      <c r="CZ47" s="1027">
        <v>1946642</v>
      </c>
      <c r="DA47" s="1117">
        <v>19800</v>
      </c>
    </row>
    <row r="48" spans="1:105" s="1078" customFormat="1" ht="15.75" customHeight="1" x14ac:dyDescent="0.2">
      <c r="A48" s="1106" t="s">
        <v>196</v>
      </c>
      <c r="B48" s="1039">
        <v>9</v>
      </c>
      <c r="C48" s="1107">
        <v>518</v>
      </c>
      <c r="D48" s="1107">
        <v>70</v>
      </c>
      <c r="E48" s="1107">
        <v>12</v>
      </c>
      <c r="F48" s="1119">
        <v>2</v>
      </c>
      <c r="G48" s="1107">
        <v>2277</v>
      </c>
      <c r="H48" s="1119">
        <v>83</v>
      </c>
      <c r="I48" s="1227">
        <v>431</v>
      </c>
      <c r="J48" s="1039">
        <v>41</v>
      </c>
      <c r="K48" s="1040">
        <v>20927</v>
      </c>
      <c r="L48" s="1228">
        <v>1311</v>
      </c>
      <c r="M48" s="1040">
        <v>1</v>
      </c>
      <c r="N48" s="1040">
        <v>117</v>
      </c>
      <c r="O48" s="1040">
        <v>17</v>
      </c>
      <c r="P48" s="1228">
        <v>18</v>
      </c>
      <c r="Q48" s="1040">
        <v>9471</v>
      </c>
      <c r="R48" s="1040">
        <v>645</v>
      </c>
      <c r="S48" s="1040">
        <v>2</v>
      </c>
      <c r="T48" s="1040">
        <v>169</v>
      </c>
      <c r="U48" s="1108">
        <v>29</v>
      </c>
      <c r="V48" s="1107" t="s">
        <v>143</v>
      </c>
      <c r="W48" s="1040" t="s">
        <v>143</v>
      </c>
      <c r="X48" s="1040" t="s">
        <v>143</v>
      </c>
      <c r="Y48" s="1040" t="s">
        <v>143</v>
      </c>
      <c r="Z48" s="1040" t="s">
        <v>143</v>
      </c>
      <c r="AA48" s="1040" t="s">
        <v>143</v>
      </c>
      <c r="AB48" s="1040">
        <v>2</v>
      </c>
      <c r="AC48" s="1040">
        <v>2014</v>
      </c>
      <c r="AD48" s="1040">
        <v>191</v>
      </c>
      <c r="AE48" s="1040">
        <v>9</v>
      </c>
      <c r="AF48" s="1040">
        <v>6575</v>
      </c>
      <c r="AG48" s="1108">
        <v>551</v>
      </c>
      <c r="AH48" s="1039">
        <v>1</v>
      </c>
      <c r="AI48" s="1040">
        <v>275</v>
      </c>
      <c r="AJ48" s="1040">
        <v>46</v>
      </c>
      <c r="AK48" s="1040">
        <v>1</v>
      </c>
      <c r="AL48" s="1040">
        <v>181</v>
      </c>
      <c r="AM48" s="1228">
        <v>40</v>
      </c>
      <c r="AN48" s="1040" t="s">
        <v>143</v>
      </c>
      <c r="AO48" s="1040" t="s">
        <v>143</v>
      </c>
      <c r="AP48" s="1228">
        <v>1</v>
      </c>
      <c r="AQ48" s="1228">
        <v>2</v>
      </c>
      <c r="AR48" s="1040">
        <v>754356</v>
      </c>
      <c r="AS48" s="1229">
        <v>162.80000000000001</v>
      </c>
      <c r="AT48" s="1108">
        <v>1457861</v>
      </c>
      <c r="AU48" s="1107">
        <v>5</v>
      </c>
      <c r="AV48" s="1040" t="s">
        <v>143</v>
      </c>
      <c r="AW48" s="1040" t="s">
        <v>143</v>
      </c>
      <c r="AX48" s="1228">
        <v>5</v>
      </c>
      <c r="AY48" s="1040" t="s">
        <v>143</v>
      </c>
      <c r="AZ48" s="1040" t="s">
        <v>143</v>
      </c>
      <c r="BA48" s="1040" t="s">
        <v>143</v>
      </c>
      <c r="BB48" s="1040" t="s">
        <v>143</v>
      </c>
      <c r="BC48" s="1040" t="s">
        <v>143</v>
      </c>
      <c r="BD48" s="1040" t="s">
        <v>143</v>
      </c>
      <c r="BE48" s="1108" t="s">
        <v>143</v>
      </c>
      <c r="BF48" s="1180"/>
      <c r="BG48" s="1039">
        <v>7</v>
      </c>
      <c r="BH48" s="1040">
        <v>20013</v>
      </c>
      <c r="BI48" s="1040">
        <v>1</v>
      </c>
      <c r="BJ48" s="1228">
        <v>30830</v>
      </c>
      <c r="BK48" s="1040">
        <v>6</v>
      </c>
      <c r="BL48" s="1040">
        <v>6</v>
      </c>
      <c r="BM48" s="1040">
        <v>61160</v>
      </c>
      <c r="BN48" s="1040">
        <v>3</v>
      </c>
      <c r="BO48" s="1040">
        <v>3534</v>
      </c>
      <c r="BP48" s="1040">
        <v>2</v>
      </c>
      <c r="BQ48" s="1108">
        <v>12</v>
      </c>
      <c r="BR48" s="1180"/>
      <c r="BS48" s="1230">
        <v>1</v>
      </c>
      <c r="BT48" s="1231">
        <v>250</v>
      </c>
      <c r="BU48" s="1225"/>
      <c r="BV48" s="1039">
        <v>55</v>
      </c>
      <c r="BW48" s="1040">
        <v>2512</v>
      </c>
      <c r="BX48" s="1040">
        <v>2558</v>
      </c>
      <c r="BY48" s="1107">
        <v>0</v>
      </c>
      <c r="BZ48" s="1040">
        <v>0</v>
      </c>
      <c r="CA48" s="1040">
        <v>0</v>
      </c>
      <c r="CB48" s="1107">
        <v>30</v>
      </c>
      <c r="CC48" s="1107">
        <v>742</v>
      </c>
      <c r="CD48" s="1227">
        <v>584</v>
      </c>
      <c r="CE48" s="1180"/>
      <c r="CF48" s="1039">
        <v>443</v>
      </c>
      <c r="CG48" s="1040">
        <v>52</v>
      </c>
      <c r="CH48" s="1040">
        <v>12</v>
      </c>
      <c r="CI48" s="1040">
        <v>12</v>
      </c>
      <c r="CJ48" s="1040">
        <v>4</v>
      </c>
      <c r="CK48" s="1228">
        <v>3</v>
      </c>
      <c r="CL48" s="1228">
        <v>3</v>
      </c>
      <c r="CM48" s="1040">
        <v>85</v>
      </c>
      <c r="CN48" s="1228">
        <v>31757</v>
      </c>
      <c r="CO48" s="1228">
        <v>500</v>
      </c>
      <c r="CP48" s="1228">
        <v>72</v>
      </c>
      <c r="CQ48" s="1108">
        <v>82</v>
      </c>
      <c r="CR48" s="1180"/>
      <c r="CS48" s="1039">
        <v>164</v>
      </c>
      <c r="CT48" s="1228">
        <v>18</v>
      </c>
      <c r="CU48" s="1228" t="s">
        <v>143</v>
      </c>
      <c r="CV48" s="1228">
        <v>106</v>
      </c>
      <c r="CW48" s="1228">
        <v>25</v>
      </c>
      <c r="CX48" s="1232">
        <v>15</v>
      </c>
      <c r="CY48" s="1232" t="s">
        <v>143</v>
      </c>
      <c r="CZ48" s="1040">
        <v>1694164</v>
      </c>
      <c r="DA48" s="1108">
        <v>88148</v>
      </c>
    </row>
    <row r="49" spans="1:105" s="1078" customFormat="1" ht="15.75" customHeight="1" x14ac:dyDescent="0.2">
      <c r="A49" s="1093" t="s">
        <v>197</v>
      </c>
      <c r="B49" s="1038">
        <v>27</v>
      </c>
      <c r="C49" s="1094">
        <v>2810</v>
      </c>
      <c r="D49" s="1094">
        <v>272</v>
      </c>
      <c r="E49" s="1094">
        <v>1</v>
      </c>
      <c r="F49" s="1094">
        <v>1</v>
      </c>
      <c r="G49" s="1094">
        <v>66</v>
      </c>
      <c r="H49" s="1094">
        <v>66</v>
      </c>
      <c r="I49" s="1175">
        <v>8</v>
      </c>
      <c r="J49" s="1038">
        <v>28</v>
      </c>
      <c r="K49" s="1027">
        <v>16246</v>
      </c>
      <c r="L49" s="1219">
        <v>955</v>
      </c>
      <c r="M49" s="1027">
        <v>1</v>
      </c>
      <c r="N49" s="1027">
        <v>410</v>
      </c>
      <c r="O49" s="1027">
        <v>21</v>
      </c>
      <c r="P49" s="1219">
        <v>13</v>
      </c>
      <c r="Q49" s="1027">
        <v>7452</v>
      </c>
      <c r="R49" s="1027">
        <v>509</v>
      </c>
      <c r="S49" s="1027" t="s">
        <v>143</v>
      </c>
      <c r="T49" s="1027" t="s">
        <v>143</v>
      </c>
      <c r="U49" s="1117" t="s">
        <v>143</v>
      </c>
      <c r="V49" s="1094" t="s">
        <v>143</v>
      </c>
      <c r="W49" s="1027" t="s">
        <v>143</v>
      </c>
      <c r="X49" s="1027" t="s">
        <v>143</v>
      </c>
      <c r="Y49" s="1027" t="s">
        <v>143</v>
      </c>
      <c r="Z49" s="1027" t="s">
        <v>143</v>
      </c>
      <c r="AA49" s="1027" t="s">
        <v>143</v>
      </c>
      <c r="AB49" s="1027">
        <v>1</v>
      </c>
      <c r="AC49" s="1027">
        <v>823</v>
      </c>
      <c r="AD49" s="1027">
        <v>71</v>
      </c>
      <c r="AE49" s="1027">
        <v>6</v>
      </c>
      <c r="AF49" s="1027">
        <v>5590</v>
      </c>
      <c r="AG49" s="1117">
        <v>344</v>
      </c>
      <c r="AH49" s="1038" t="s">
        <v>143</v>
      </c>
      <c r="AI49" s="1027" t="s">
        <v>143</v>
      </c>
      <c r="AJ49" s="1027" t="s">
        <v>143</v>
      </c>
      <c r="AK49" s="1027">
        <v>1</v>
      </c>
      <c r="AL49" s="1027">
        <v>181</v>
      </c>
      <c r="AM49" s="1219">
        <v>22</v>
      </c>
      <c r="AN49" s="1027" t="s">
        <v>143</v>
      </c>
      <c r="AO49" s="1027" t="s">
        <v>143</v>
      </c>
      <c r="AP49" s="1219">
        <v>1</v>
      </c>
      <c r="AQ49" s="1219">
        <v>2</v>
      </c>
      <c r="AR49" s="1027">
        <v>602872</v>
      </c>
      <c r="AS49" s="1222">
        <v>201.6</v>
      </c>
      <c r="AT49" s="1117">
        <v>2457865</v>
      </c>
      <c r="AU49" s="1094">
        <v>1</v>
      </c>
      <c r="AV49" s="1027" t="s">
        <v>143</v>
      </c>
      <c r="AW49" s="1027" t="s">
        <v>143</v>
      </c>
      <c r="AX49" s="1219">
        <v>1</v>
      </c>
      <c r="AY49" s="1027" t="s">
        <v>143</v>
      </c>
      <c r="AZ49" s="1027" t="s">
        <v>143</v>
      </c>
      <c r="BA49" s="1027" t="s">
        <v>143</v>
      </c>
      <c r="BB49" s="1027" t="s">
        <v>143</v>
      </c>
      <c r="BC49" s="1027" t="s">
        <v>143</v>
      </c>
      <c r="BD49" s="1027" t="s">
        <v>143</v>
      </c>
      <c r="BE49" s="1117" t="s">
        <v>143</v>
      </c>
      <c r="BF49" s="1180"/>
      <c r="BG49" s="1038">
        <v>2</v>
      </c>
      <c r="BH49" s="1027">
        <v>9204</v>
      </c>
      <c r="BI49" s="1027" t="s">
        <v>143</v>
      </c>
      <c r="BJ49" s="1219" t="s">
        <v>143</v>
      </c>
      <c r="BK49" s="1027" t="s">
        <v>143</v>
      </c>
      <c r="BL49" s="1027" t="s">
        <v>143</v>
      </c>
      <c r="BM49" s="1027" t="s">
        <v>143</v>
      </c>
      <c r="BN49" s="1027">
        <v>1</v>
      </c>
      <c r="BO49" s="1027">
        <v>2102</v>
      </c>
      <c r="BP49" s="1027">
        <v>2</v>
      </c>
      <c r="BQ49" s="1117">
        <v>11</v>
      </c>
      <c r="BR49" s="1180"/>
      <c r="BS49" s="1223">
        <v>4</v>
      </c>
      <c r="BT49" s="1275">
        <v>1268</v>
      </c>
      <c r="BU49" s="1225"/>
      <c r="BV49" s="1038" t="s">
        <v>143</v>
      </c>
      <c r="BW49" s="1027" t="s">
        <v>143</v>
      </c>
      <c r="BX49" s="1027" t="s">
        <v>143</v>
      </c>
      <c r="BY49" s="1094">
        <v>28</v>
      </c>
      <c r="BZ49" s="1027">
        <v>4095</v>
      </c>
      <c r="CA49" s="1027">
        <v>3243</v>
      </c>
      <c r="CB49" s="1094" t="s">
        <v>143</v>
      </c>
      <c r="CC49" s="1027" t="s">
        <v>143</v>
      </c>
      <c r="CD49" s="1117" t="s">
        <v>143</v>
      </c>
      <c r="CE49" s="1180"/>
      <c r="CF49" s="1038">
        <v>244</v>
      </c>
      <c r="CG49" s="1027">
        <v>40</v>
      </c>
      <c r="CH49" s="1027">
        <v>9</v>
      </c>
      <c r="CI49" s="1027">
        <v>9</v>
      </c>
      <c r="CJ49" s="1027">
        <v>1</v>
      </c>
      <c r="CK49" s="1219">
        <v>6</v>
      </c>
      <c r="CL49" s="1219" t="s">
        <v>143</v>
      </c>
      <c r="CM49" s="1027">
        <v>73</v>
      </c>
      <c r="CN49" s="1219">
        <v>16299</v>
      </c>
      <c r="CO49" s="1219">
        <v>391</v>
      </c>
      <c r="CP49" s="1219">
        <v>60</v>
      </c>
      <c r="CQ49" s="1117">
        <v>107</v>
      </c>
      <c r="CR49" s="1180"/>
      <c r="CS49" s="1038">
        <f>SUM(CT49:CY49)</f>
        <v>34</v>
      </c>
      <c r="CT49" s="1219">
        <v>2</v>
      </c>
      <c r="CU49" s="1219">
        <f>4-1</f>
        <v>3</v>
      </c>
      <c r="CV49" s="1219">
        <f>6+1</f>
        <v>7</v>
      </c>
      <c r="CW49" s="1219">
        <v>10</v>
      </c>
      <c r="CX49" s="1226">
        <v>12</v>
      </c>
      <c r="CY49" s="1226">
        <v>0</v>
      </c>
      <c r="CZ49" s="1027">
        <v>812559</v>
      </c>
      <c r="DA49" s="1117">
        <v>7576.48</v>
      </c>
    </row>
    <row r="50" spans="1:105" s="1078" customFormat="1" ht="15.75" customHeight="1" x14ac:dyDescent="0.2">
      <c r="A50" s="1106" t="s">
        <v>198</v>
      </c>
      <c r="B50" s="1039">
        <v>13</v>
      </c>
      <c r="C50" s="1107">
        <v>625</v>
      </c>
      <c r="D50" s="1107">
        <v>79</v>
      </c>
      <c r="E50" s="1107">
        <v>39</v>
      </c>
      <c r="F50" s="1107">
        <v>6</v>
      </c>
      <c r="G50" s="1107">
        <v>6950</v>
      </c>
      <c r="H50" s="1107">
        <v>421</v>
      </c>
      <c r="I50" s="1227">
        <v>579</v>
      </c>
      <c r="J50" s="1039">
        <v>40</v>
      </c>
      <c r="K50" s="1040">
        <v>26394</v>
      </c>
      <c r="L50" s="1228">
        <v>1577</v>
      </c>
      <c r="M50" s="1040">
        <v>2</v>
      </c>
      <c r="N50" s="1040">
        <v>432</v>
      </c>
      <c r="O50" s="1040">
        <v>35</v>
      </c>
      <c r="P50" s="1228">
        <v>19</v>
      </c>
      <c r="Q50" s="1040">
        <v>10892</v>
      </c>
      <c r="R50" s="1040">
        <v>776</v>
      </c>
      <c r="S50" s="1040">
        <v>7</v>
      </c>
      <c r="T50" s="1040">
        <v>2754</v>
      </c>
      <c r="U50" s="1108">
        <v>194</v>
      </c>
      <c r="V50" s="1107">
        <v>1</v>
      </c>
      <c r="W50" s="1040">
        <v>490</v>
      </c>
      <c r="X50" s="1040">
        <v>47</v>
      </c>
      <c r="Y50" s="1040">
        <v>0</v>
      </c>
      <c r="Z50" s="1040">
        <v>0</v>
      </c>
      <c r="AA50" s="1040">
        <v>0</v>
      </c>
      <c r="AB50" s="1040">
        <v>2</v>
      </c>
      <c r="AC50" s="1040">
        <v>1895</v>
      </c>
      <c r="AD50" s="1040">
        <v>192</v>
      </c>
      <c r="AE50" s="1040">
        <v>13</v>
      </c>
      <c r="AF50" s="1040">
        <v>9813</v>
      </c>
      <c r="AG50" s="1108">
        <v>717</v>
      </c>
      <c r="AH50" s="1039">
        <v>0</v>
      </c>
      <c r="AI50" s="1040">
        <v>0</v>
      </c>
      <c r="AJ50" s="1040">
        <v>0</v>
      </c>
      <c r="AK50" s="1040">
        <v>1</v>
      </c>
      <c r="AL50" s="1040">
        <v>742</v>
      </c>
      <c r="AM50" s="1228">
        <v>87</v>
      </c>
      <c r="AN50" s="1040">
        <v>0</v>
      </c>
      <c r="AO50" s="1040">
        <v>0</v>
      </c>
      <c r="AP50" s="1228">
        <v>1</v>
      </c>
      <c r="AQ50" s="1228">
        <v>11</v>
      </c>
      <c r="AR50" s="1040">
        <v>1060777</v>
      </c>
      <c r="AS50" s="1229">
        <v>217.9</v>
      </c>
      <c r="AT50" s="1108">
        <v>3122031</v>
      </c>
      <c r="AU50" s="1107">
        <v>16</v>
      </c>
      <c r="AV50" s="1040">
        <v>5</v>
      </c>
      <c r="AW50" s="1040">
        <v>1</v>
      </c>
      <c r="AX50" s="1228">
        <v>5</v>
      </c>
      <c r="AY50" s="1040">
        <v>4</v>
      </c>
      <c r="AZ50" s="1040">
        <v>0</v>
      </c>
      <c r="BA50" s="1040">
        <v>0</v>
      </c>
      <c r="BB50" s="1040">
        <v>1</v>
      </c>
      <c r="BC50" s="1040">
        <v>0</v>
      </c>
      <c r="BD50" s="1040">
        <v>0</v>
      </c>
      <c r="BE50" s="1108">
        <v>24</v>
      </c>
      <c r="BF50" s="1180"/>
      <c r="BG50" s="1039">
        <v>9</v>
      </c>
      <c r="BH50" s="1040">
        <v>19685</v>
      </c>
      <c r="BI50" s="1040">
        <v>1</v>
      </c>
      <c r="BJ50" s="1228">
        <v>20355</v>
      </c>
      <c r="BK50" s="1040">
        <v>6</v>
      </c>
      <c r="BL50" s="1040">
        <v>8</v>
      </c>
      <c r="BM50" s="1040">
        <v>93924</v>
      </c>
      <c r="BN50" s="1040">
        <v>1</v>
      </c>
      <c r="BO50" s="1040">
        <v>1242</v>
      </c>
      <c r="BP50" s="1040">
        <v>6</v>
      </c>
      <c r="BQ50" s="1108">
        <v>34</v>
      </c>
      <c r="BR50" s="1180"/>
      <c r="BS50" s="1230">
        <v>6</v>
      </c>
      <c r="BT50" s="1231">
        <v>3181</v>
      </c>
      <c r="BU50" s="1225"/>
      <c r="BV50" s="1039" t="s">
        <v>143</v>
      </c>
      <c r="BW50" s="1040" t="s">
        <v>143</v>
      </c>
      <c r="BX50" s="1040" t="s">
        <v>143</v>
      </c>
      <c r="BY50" s="1119">
        <v>85</v>
      </c>
      <c r="BZ50" s="1032">
        <v>4870</v>
      </c>
      <c r="CA50" s="1032">
        <v>3930</v>
      </c>
      <c r="CB50" s="1107">
        <v>1</v>
      </c>
      <c r="CC50" s="1040">
        <v>25</v>
      </c>
      <c r="CD50" s="1108">
        <v>25</v>
      </c>
      <c r="CE50" s="1180"/>
      <c r="CF50" s="1039">
        <v>477</v>
      </c>
      <c r="CG50" s="1040">
        <v>72</v>
      </c>
      <c r="CH50" s="1040">
        <v>13</v>
      </c>
      <c r="CI50" s="1040">
        <v>13</v>
      </c>
      <c r="CJ50" s="1040">
        <v>4</v>
      </c>
      <c r="CK50" s="1228">
        <v>4</v>
      </c>
      <c r="CL50" s="1228">
        <v>0</v>
      </c>
      <c r="CM50" s="1040">
        <v>85</v>
      </c>
      <c r="CN50" s="1228">
        <v>25091</v>
      </c>
      <c r="CO50" s="1228">
        <v>436</v>
      </c>
      <c r="CP50" s="1228">
        <v>112</v>
      </c>
      <c r="CQ50" s="1108">
        <v>143</v>
      </c>
      <c r="CR50" s="1180"/>
      <c r="CS50" s="1039">
        <v>271</v>
      </c>
      <c r="CT50" s="1228">
        <v>31</v>
      </c>
      <c r="CU50" s="1228">
        <v>2</v>
      </c>
      <c r="CV50" s="1228">
        <v>153</v>
      </c>
      <c r="CW50" s="1228">
        <v>33</v>
      </c>
      <c r="CX50" s="1232">
        <v>52</v>
      </c>
      <c r="CY50" s="1232">
        <v>0</v>
      </c>
      <c r="CZ50" s="1040">
        <v>1526292</v>
      </c>
      <c r="DA50" s="1108">
        <v>42294</v>
      </c>
    </row>
    <row r="51" spans="1:105" s="1078" customFormat="1" ht="15.75" customHeight="1" x14ac:dyDescent="0.2">
      <c r="A51" s="1093" t="s">
        <v>200</v>
      </c>
      <c r="B51" s="1038">
        <v>16</v>
      </c>
      <c r="C51" s="1094">
        <v>435</v>
      </c>
      <c r="D51" s="1094">
        <v>64</v>
      </c>
      <c r="E51" s="1094">
        <v>17</v>
      </c>
      <c r="F51" s="1094">
        <v>2</v>
      </c>
      <c r="G51" s="1094">
        <v>2221</v>
      </c>
      <c r="H51" s="1094">
        <v>2190</v>
      </c>
      <c r="I51" s="1175">
        <v>191</v>
      </c>
      <c r="J51" s="1038">
        <v>43</v>
      </c>
      <c r="K51" s="1027">
        <v>15342</v>
      </c>
      <c r="L51" s="1219">
        <v>1237</v>
      </c>
      <c r="M51" s="1027">
        <v>6</v>
      </c>
      <c r="N51" s="1027">
        <v>2494</v>
      </c>
      <c r="O51" s="1027">
        <v>184</v>
      </c>
      <c r="P51" s="1219">
        <v>21</v>
      </c>
      <c r="Q51" s="1027">
        <v>7371</v>
      </c>
      <c r="R51" s="1027">
        <v>617</v>
      </c>
      <c r="S51" s="1027">
        <v>8</v>
      </c>
      <c r="T51" s="1027">
        <v>3064</v>
      </c>
      <c r="U51" s="1117">
        <v>252</v>
      </c>
      <c r="V51" s="1094" t="s">
        <v>143</v>
      </c>
      <c r="W51" s="1027" t="s">
        <v>143</v>
      </c>
      <c r="X51" s="1027" t="s">
        <v>143</v>
      </c>
      <c r="Y51" s="1027" t="s">
        <v>143</v>
      </c>
      <c r="Z51" s="1027" t="s">
        <v>143</v>
      </c>
      <c r="AA51" s="1027" t="s">
        <v>143</v>
      </c>
      <c r="AB51" s="1027">
        <v>1</v>
      </c>
      <c r="AC51" s="1027">
        <v>1073</v>
      </c>
      <c r="AD51" s="1027">
        <v>100</v>
      </c>
      <c r="AE51" s="1027">
        <v>16</v>
      </c>
      <c r="AF51" s="1027">
        <v>9788</v>
      </c>
      <c r="AG51" s="1117">
        <v>765</v>
      </c>
      <c r="AH51" s="1038" t="s">
        <v>143</v>
      </c>
      <c r="AI51" s="1027" t="s">
        <v>143</v>
      </c>
      <c r="AJ51" s="1027" t="s">
        <v>143</v>
      </c>
      <c r="AK51" s="1027">
        <v>2</v>
      </c>
      <c r="AL51" s="1027">
        <v>145</v>
      </c>
      <c r="AM51" s="1219">
        <v>30</v>
      </c>
      <c r="AN51" s="1027" t="s">
        <v>143</v>
      </c>
      <c r="AO51" s="1027" t="s">
        <v>143</v>
      </c>
      <c r="AP51" s="1219">
        <v>3</v>
      </c>
      <c r="AQ51" s="1219">
        <v>3</v>
      </c>
      <c r="AR51" s="1027">
        <v>625499</v>
      </c>
      <c r="AS51" s="1222">
        <v>175.4</v>
      </c>
      <c r="AT51" s="1117">
        <v>1156386</v>
      </c>
      <c r="AU51" s="1126">
        <v>7</v>
      </c>
      <c r="AV51" s="1027" t="s">
        <v>143</v>
      </c>
      <c r="AW51" s="1027" t="s">
        <v>143</v>
      </c>
      <c r="AX51" s="1219">
        <v>4</v>
      </c>
      <c r="AY51" s="1027">
        <v>3</v>
      </c>
      <c r="AZ51" s="1027" t="s">
        <v>143</v>
      </c>
      <c r="BA51" s="1027" t="s">
        <v>143</v>
      </c>
      <c r="BB51" s="1027" t="s">
        <v>143</v>
      </c>
      <c r="BC51" s="1027" t="s">
        <v>143</v>
      </c>
      <c r="BD51" s="1027" t="s">
        <v>143</v>
      </c>
      <c r="BE51" s="1117">
        <v>48</v>
      </c>
      <c r="BF51" s="1180"/>
      <c r="BG51" s="1038">
        <v>11</v>
      </c>
      <c r="BH51" s="1027">
        <v>19640</v>
      </c>
      <c r="BI51" s="1027">
        <v>1</v>
      </c>
      <c r="BJ51" s="1219">
        <v>77091</v>
      </c>
      <c r="BK51" s="1027">
        <v>2</v>
      </c>
      <c r="BL51" s="1027">
        <v>2</v>
      </c>
      <c r="BM51" s="1027">
        <v>61800</v>
      </c>
      <c r="BN51" s="1027">
        <v>4</v>
      </c>
      <c r="BO51" s="1027">
        <v>1681</v>
      </c>
      <c r="BP51" s="1027">
        <v>10</v>
      </c>
      <c r="BQ51" s="1117">
        <v>43</v>
      </c>
      <c r="BR51" s="1180"/>
      <c r="BS51" s="1223">
        <v>1</v>
      </c>
      <c r="BT51" s="1224">
        <v>1496</v>
      </c>
      <c r="BU51" s="1225"/>
      <c r="BV51" s="1038">
        <v>39</v>
      </c>
      <c r="BW51" s="1027">
        <v>3692</v>
      </c>
      <c r="BX51" s="1027">
        <v>3357</v>
      </c>
      <c r="BY51" s="1094">
        <v>4</v>
      </c>
      <c r="BZ51" s="1027">
        <v>208</v>
      </c>
      <c r="CA51" s="1027">
        <v>89</v>
      </c>
      <c r="CB51" s="1094">
        <v>5</v>
      </c>
      <c r="CC51" s="1027">
        <v>207</v>
      </c>
      <c r="CD51" s="1117">
        <v>189</v>
      </c>
      <c r="CE51" s="1180"/>
      <c r="CF51" s="1038">
        <v>390</v>
      </c>
      <c r="CG51" s="1027">
        <v>79</v>
      </c>
      <c r="CH51" s="1027">
        <v>16</v>
      </c>
      <c r="CI51" s="1027">
        <v>16</v>
      </c>
      <c r="CJ51" s="1027">
        <v>5</v>
      </c>
      <c r="CK51" s="1219">
        <v>6</v>
      </c>
      <c r="CL51" s="1219" t="s">
        <v>143</v>
      </c>
      <c r="CM51" s="1027">
        <v>82</v>
      </c>
      <c r="CN51" s="1219">
        <v>21102</v>
      </c>
      <c r="CO51" s="1219">
        <v>261</v>
      </c>
      <c r="CP51" s="1219">
        <v>164</v>
      </c>
      <c r="CQ51" s="1117">
        <v>148</v>
      </c>
      <c r="CR51" s="1180"/>
      <c r="CS51" s="1037">
        <v>210</v>
      </c>
      <c r="CT51" s="1219">
        <v>49</v>
      </c>
      <c r="CU51" s="1219">
        <v>11</v>
      </c>
      <c r="CV51" s="1219">
        <v>25</v>
      </c>
      <c r="CW51" s="1219">
        <v>84</v>
      </c>
      <c r="CX51" s="1226">
        <v>41</v>
      </c>
      <c r="CY51" s="1226">
        <v>0</v>
      </c>
      <c r="CZ51" s="1027">
        <v>1032698</v>
      </c>
      <c r="DA51" s="1117">
        <v>20764</v>
      </c>
    </row>
    <row r="52" spans="1:105" s="1078" customFormat="1" ht="15.75" customHeight="1" x14ac:dyDescent="0.2">
      <c r="A52" s="1106" t="s">
        <v>201</v>
      </c>
      <c r="B52" s="1036">
        <v>11</v>
      </c>
      <c r="C52" s="1119">
        <v>511</v>
      </c>
      <c r="D52" s="1119">
        <v>79</v>
      </c>
      <c r="E52" s="1119">
        <v>12</v>
      </c>
      <c r="F52" s="1119">
        <v>2</v>
      </c>
      <c r="G52" s="1119">
        <v>2044</v>
      </c>
      <c r="H52" s="1119">
        <v>341</v>
      </c>
      <c r="I52" s="1265">
        <v>172</v>
      </c>
      <c r="J52" s="1036">
        <v>51</v>
      </c>
      <c r="K52" s="1032">
        <v>16504</v>
      </c>
      <c r="L52" s="1033">
        <v>1178</v>
      </c>
      <c r="M52" s="1032">
        <v>2</v>
      </c>
      <c r="N52" s="1032">
        <v>950</v>
      </c>
      <c r="O52" s="1032">
        <v>176</v>
      </c>
      <c r="P52" s="1033">
        <v>18</v>
      </c>
      <c r="Q52" s="1032">
        <v>6882</v>
      </c>
      <c r="R52" s="1032">
        <v>519</v>
      </c>
      <c r="S52" s="1032">
        <v>7</v>
      </c>
      <c r="T52" s="1032">
        <v>2872</v>
      </c>
      <c r="U52" s="1034">
        <v>203</v>
      </c>
      <c r="V52" s="1119">
        <v>1</v>
      </c>
      <c r="W52" s="1032">
        <v>743</v>
      </c>
      <c r="X52" s="1032">
        <v>50</v>
      </c>
      <c r="Y52" s="1032" t="s">
        <v>143</v>
      </c>
      <c r="Z52" s="1032" t="s">
        <v>143</v>
      </c>
      <c r="AA52" s="1032" t="s">
        <v>143</v>
      </c>
      <c r="AB52" s="1032">
        <v>1</v>
      </c>
      <c r="AC52" s="1032">
        <v>758</v>
      </c>
      <c r="AD52" s="1032">
        <v>77</v>
      </c>
      <c r="AE52" s="1032">
        <v>12</v>
      </c>
      <c r="AF52" s="1032">
        <v>10287</v>
      </c>
      <c r="AG52" s="1034"/>
      <c r="AH52" s="1036">
        <v>1</v>
      </c>
      <c r="AI52" s="1032">
        <v>28</v>
      </c>
      <c r="AJ52" s="1032">
        <v>24</v>
      </c>
      <c r="AK52" s="1032">
        <v>2</v>
      </c>
      <c r="AL52" s="1032">
        <v>298</v>
      </c>
      <c r="AM52" s="1033"/>
      <c r="AN52" s="1032" t="s">
        <v>143</v>
      </c>
      <c r="AO52" s="1032" t="s">
        <v>143</v>
      </c>
      <c r="AP52" s="1033">
        <v>6</v>
      </c>
      <c r="AQ52" s="1033">
        <v>2</v>
      </c>
      <c r="AR52" s="1032">
        <v>532642</v>
      </c>
      <c r="AS52" s="1233">
        <v>145.6</v>
      </c>
      <c r="AT52" s="1034">
        <v>547276</v>
      </c>
      <c r="AU52" s="1119">
        <v>8</v>
      </c>
      <c r="AV52" s="1032" t="s">
        <v>143</v>
      </c>
      <c r="AW52" s="1032">
        <v>1</v>
      </c>
      <c r="AX52" s="1033">
        <v>5</v>
      </c>
      <c r="AY52" s="1032">
        <v>1</v>
      </c>
      <c r="AZ52" s="1032" t="s">
        <v>143</v>
      </c>
      <c r="BA52" s="1032">
        <v>1</v>
      </c>
      <c r="BB52" s="1032" t="s">
        <v>143</v>
      </c>
      <c r="BC52" s="1032" t="s">
        <v>143</v>
      </c>
      <c r="BD52" s="1032" t="s">
        <v>143</v>
      </c>
      <c r="BE52" s="1034">
        <v>1</v>
      </c>
      <c r="BF52" s="1180"/>
      <c r="BG52" s="1036">
        <v>5</v>
      </c>
      <c r="BH52" s="1032">
        <v>12055</v>
      </c>
      <c r="BI52" s="1032">
        <v>1</v>
      </c>
      <c r="BJ52" s="1033">
        <v>14300</v>
      </c>
      <c r="BK52" s="1032">
        <v>7</v>
      </c>
      <c r="BL52" s="1032">
        <v>12</v>
      </c>
      <c r="BM52" s="1032">
        <v>85150</v>
      </c>
      <c r="BN52" s="1032">
        <v>1</v>
      </c>
      <c r="BO52" s="1032">
        <v>415</v>
      </c>
      <c r="BP52" s="1032">
        <v>5</v>
      </c>
      <c r="BQ52" s="1034">
        <v>33</v>
      </c>
      <c r="BR52" s="1180"/>
      <c r="BS52" s="1234">
        <v>2</v>
      </c>
      <c r="BT52" s="1235">
        <v>1406</v>
      </c>
      <c r="BU52" s="1225"/>
      <c r="BV52" s="1036" t="s">
        <v>143</v>
      </c>
      <c r="BW52" s="1032" t="s">
        <v>143</v>
      </c>
      <c r="BX52" s="1032" t="s">
        <v>143</v>
      </c>
      <c r="BY52" s="1119">
        <v>94</v>
      </c>
      <c r="BZ52" s="1032">
        <v>3760</v>
      </c>
      <c r="CA52" s="1032">
        <v>3264</v>
      </c>
      <c r="CB52" s="1119">
        <v>10</v>
      </c>
      <c r="CC52" s="1032">
        <v>321</v>
      </c>
      <c r="CD52" s="1034">
        <v>221</v>
      </c>
      <c r="CE52" s="1180"/>
      <c r="CF52" s="1036">
        <v>402</v>
      </c>
      <c r="CG52" s="1032">
        <v>62</v>
      </c>
      <c r="CH52" s="1032">
        <v>16</v>
      </c>
      <c r="CI52" s="1032">
        <v>16</v>
      </c>
      <c r="CJ52" s="1032">
        <v>3</v>
      </c>
      <c r="CK52" s="1033">
        <v>2</v>
      </c>
      <c r="CL52" s="1033">
        <v>6</v>
      </c>
      <c r="CM52" s="1032">
        <v>97</v>
      </c>
      <c r="CN52" s="1033">
        <v>20488</v>
      </c>
      <c r="CO52" s="1033">
        <v>342</v>
      </c>
      <c r="CP52" s="1033">
        <v>248</v>
      </c>
      <c r="CQ52" s="1034">
        <v>154</v>
      </c>
      <c r="CR52" s="1180"/>
      <c r="CS52" s="1036">
        <v>96</v>
      </c>
      <c r="CT52" s="1033">
        <v>6</v>
      </c>
      <c r="CU52" s="1033">
        <v>1</v>
      </c>
      <c r="CV52" s="1033">
        <v>59</v>
      </c>
      <c r="CW52" s="1033">
        <v>23</v>
      </c>
      <c r="CX52" s="1236">
        <v>7</v>
      </c>
      <c r="CY52" s="1236">
        <v>0</v>
      </c>
      <c r="CZ52" s="1032">
        <v>1218598.29</v>
      </c>
      <c r="DA52" s="1034">
        <v>7160.72</v>
      </c>
    </row>
    <row r="53" spans="1:105" s="1078" customFormat="1" ht="15.75" customHeight="1" x14ac:dyDescent="0.2">
      <c r="A53" s="1093" t="s">
        <v>202</v>
      </c>
      <c r="B53" s="1038">
        <v>3</v>
      </c>
      <c r="C53" s="1094">
        <v>128</v>
      </c>
      <c r="D53" s="1094">
        <v>12</v>
      </c>
      <c r="E53" s="1094">
        <v>4</v>
      </c>
      <c r="F53" s="1094">
        <v>4</v>
      </c>
      <c r="G53" s="1094">
        <v>324</v>
      </c>
      <c r="H53" s="1094">
        <v>122</v>
      </c>
      <c r="I53" s="1027" t="s">
        <v>152</v>
      </c>
      <c r="J53" s="1038">
        <v>39</v>
      </c>
      <c r="K53" s="1027">
        <v>9073</v>
      </c>
      <c r="L53" s="1219">
        <v>924</v>
      </c>
      <c r="M53" s="1027">
        <v>1</v>
      </c>
      <c r="N53" s="1027">
        <v>372</v>
      </c>
      <c r="O53" s="1027">
        <v>23</v>
      </c>
      <c r="P53" s="1219">
        <v>14</v>
      </c>
      <c r="Q53" s="1027">
        <v>4413</v>
      </c>
      <c r="R53" s="1027">
        <v>467</v>
      </c>
      <c r="S53" s="1027">
        <v>2</v>
      </c>
      <c r="T53" s="1027">
        <v>531</v>
      </c>
      <c r="U53" s="1117">
        <v>39</v>
      </c>
      <c r="V53" s="1094">
        <v>4</v>
      </c>
      <c r="W53" s="1027">
        <v>801</v>
      </c>
      <c r="X53" s="1027">
        <v>130</v>
      </c>
      <c r="Y53" s="1027" t="s">
        <v>143</v>
      </c>
      <c r="Z53" s="1027" t="s">
        <v>143</v>
      </c>
      <c r="AA53" s="1027" t="s">
        <v>143</v>
      </c>
      <c r="AB53" s="1027" t="s">
        <v>143</v>
      </c>
      <c r="AC53" s="1027" t="s">
        <v>143</v>
      </c>
      <c r="AD53" s="1027" t="s">
        <v>143</v>
      </c>
      <c r="AE53" s="1027">
        <v>9</v>
      </c>
      <c r="AF53" s="1027">
        <v>4922</v>
      </c>
      <c r="AG53" s="1117">
        <v>500</v>
      </c>
      <c r="AH53" s="1038" t="s">
        <v>143</v>
      </c>
      <c r="AI53" s="1027" t="s">
        <v>143</v>
      </c>
      <c r="AJ53" s="1027" t="s">
        <v>143</v>
      </c>
      <c r="AK53" s="1027">
        <v>1</v>
      </c>
      <c r="AL53" s="1027">
        <v>219</v>
      </c>
      <c r="AM53" s="1219">
        <v>50</v>
      </c>
      <c r="AN53" s="1027" t="s">
        <v>143</v>
      </c>
      <c r="AO53" s="1027" t="s">
        <v>143</v>
      </c>
      <c r="AP53" s="1219">
        <v>5</v>
      </c>
      <c r="AQ53" s="1219">
        <v>3</v>
      </c>
      <c r="AR53" s="1027">
        <v>680223</v>
      </c>
      <c r="AS53" s="1222">
        <v>365.3</v>
      </c>
      <c r="AT53" s="1117">
        <v>884403</v>
      </c>
      <c r="AU53" s="1094">
        <v>12</v>
      </c>
      <c r="AV53" s="1027">
        <v>1</v>
      </c>
      <c r="AW53" s="1027">
        <v>2</v>
      </c>
      <c r="AX53" s="1219">
        <v>8</v>
      </c>
      <c r="AY53" s="1027">
        <v>1</v>
      </c>
      <c r="AZ53" s="1027" t="s">
        <v>143</v>
      </c>
      <c r="BA53" s="1027" t="s">
        <v>143</v>
      </c>
      <c r="BB53" s="1027" t="s">
        <v>143</v>
      </c>
      <c r="BC53" s="1027" t="s">
        <v>143</v>
      </c>
      <c r="BD53" s="1027" t="s">
        <v>143</v>
      </c>
      <c r="BE53" s="1117">
        <v>63</v>
      </c>
      <c r="BF53" s="1180"/>
      <c r="BG53" s="1038">
        <v>45</v>
      </c>
      <c r="BH53" s="1027">
        <v>41679</v>
      </c>
      <c r="BI53" s="1027" t="s">
        <v>143</v>
      </c>
      <c r="BJ53" s="1219" t="s">
        <v>143</v>
      </c>
      <c r="BK53" s="1027">
        <v>13</v>
      </c>
      <c r="BL53" s="1027">
        <v>21</v>
      </c>
      <c r="BM53" s="1027">
        <v>204817</v>
      </c>
      <c r="BN53" s="1027">
        <v>7</v>
      </c>
      <c r="BO53" s="1027">
        <v>3075</v>
      </c>
      <c r="BP53" s="1027">
        <v>14</v>
      </c>
      <c r="BQ53" s="1117">
        <v>54</v>
      </c>
      <c r="BR53" s="1180"/>
      <c r="BS53" s="1223">
        <v>1</v>
      </c>
      <c r="BT53" s="1224">
        <v>930</v>
      </c>
      <c r="BU53" s="1225"/>
      <c r="BV53" s="1038" t="s">
        <v>143</v>
      </c>
      <c r="BW53" s="1027" t="s">
        <v>143</v>
      </c>
      <c r="BX53" s="1027" t="s">
        <v>143</v>
      </c>
      <c r="BY53" s="1094">
        <v>71</v>
      </c>
      <c r="BZ53" s="1027">
        <v>3241</v>
      </c>
      <c r="CA53" s="1027">
        <v>3026</v>
      </c>
      <c r="CB53" s="1094">
        <v>2</v>
      </c>
      <c r="CC53" s="1027">
        <v>75</v>
      </c>
      <c r="CD53" s="1117">
        <v>59</v>
      </c>
      <c r="CE53" s="1180"/>
      <c r="CF53" s="1038">
        <v>256</v>
      </c>
      <c r="CG53" s="1027">
        <v>51</v>
      </c>
      <c r="CH53" s="1027">
        <v>10</v>
      </c>
      <c r="CI53" s="1027">
        <v>10</v>
      </c>
      <c r="CJ53" s="1027">
        <v>4</v>
      </c>
      <c r="CK53" s="1219">
        <v>0</v>
      </c>
      <c r="CL53" s="1219">
        <v>5</v>
      </c>
      <c r="CM53" s="1027">
        <v>54</v>
      </c>
      <c r="CN53" s="1219">
        <v>9072</v>
      </c>
      <c r="CO53" s="1219">
        <v>77</v>
      </c>
      <c r="CP53" s="1219">
        <v>459</v>
      </c>
      <c r="CQ53" s="1117">
        <v>30</v>
      </c>
      <c r="CR53" s="1180"/>
      <c r="CS53" s="1038">
        <v>51</v>
      </c>
      <c r="CT53" s="1219">
        <v>41</v>
      </c>
      <c r="CU53" s="1219">
        <v>0</v>
      </c>
      <c r="CV53" s="1219">
        <v>152</v>
      </c>
      <c r="CW53" s="1219">
        <v>3</v>
      </c>
      <c r="CX53" s="1226">
        <v>6</v>
      </c>
      <c r="CY53" s="1226" t="s">
        <v>143</v>
      </c>
      <c r="CZ53" s="1027">
        <v>915693</v>
      </c>
      <c r="DA53" s="1117">
        <v>41240</v>
      </c>
    </row>
    <row r="54" spans="1:105" s="1078" customFormat="1" ht="15.75" customHeight="1" x14ac:dyDescent="0.2">
      <c r="A54" s="1106" t="s">
        <v>203</v>
      </c>
      <c r="B54" s="1039">
        <v>29</v>
      </c>
      <c r="C54" s="1107">
        <v>1123</v>
      </c>
      <c r="D54" s="1107">
        <v>124</v>
      </c>
      <c r="E54" s="1107">
        <v>1</v>
      </c>
      <c r="F54" s="1107">
        <v>1</v>
      </c>
      <c r="G54" s="1107">
        <v>83</v>
      </c>
      <c r="H54" s="1107">
        <v>83</v>
      </c>
      <c r="I54" s="1227">
        <v>8</v>
      </c>
      <c r="J54" s="1039">
        <v>34</v>
      </c>
      <c r="K54" s="1040">
        <v>10406</v>
      </c>
      <c r="L54" s="1228">
        <v>808</v>
      </c>
      <c r="M54" s="1040">
        <v>0</v>
      </c>
      <c r="N54" s="1040">
        <v>0</v>
      </c>
      <c r="O54" s="1040">
        <v>0</v>
      </c>
      <c r="P54" s="1228">
        <v>16</v>
      </c>
      <c r="Q54" s="1040">
        <v>4884</v>
      </c>
      <c r="R54" s="1040">
        <v>467</v>
      </c>
      <c r="S54" s="1040">
        <v>2</v>
      </c>
      <c r="T54" s="1040">
        <v>154</v>
      </c>
      <c r="U54" s="1108">
        <v>22</v>
      </c>
      <c r="V54" s="1107">
        <v>1</v>
      </c>
      <c r="W54" s="1040">
        <v>268</v>
      </c>
      <c r="X54" s="1040">
        <v>30</v>
      </c>
      <c r="Y54" s="1040">
        <v>1</v>
      </c>
      <c r="Z54" s="1040">
        <v>726</v>
      </c>
      <c r="AA54" s="1040">
        <v>48</v>
      </c>
      <c r="AB54" s="1040">
        <v>1</v>
      </c>
      <c r="AC54" s="1040">
        <v>281</v>
      </c>
      <c r="AD54" s="1040">
        <v>37</v>
      </c>
      <c r="AE54" s="1040">
        <v>9</v>
      </c>
      <c r="AF54" s="1040">
        <v>5198</v>
      </c>
      <c r="AG54" s="1108">
        <v>453</v>
      </c>
      <c r="AH54" s="1039">
        <v>0</v>
      </c>
      <c r="AI54" s="1040">
        <v>0</v>
      </c>
      <c r="AJ54" s="1040">
        <v>0</v>
      </c>
      <c r="AK54" s="1040">
        <v>2</v>
      </c>
      <c r="AL54" s="1040">
        <v>279</v>
      </c>
      <c r="AM54" s="1228">
        <v>76</v>
      </c>
      <c r="AN54" s="1040">
        <v>0</v>
      </c>
      <c r="AO54" s="1040">
        <v>0</v>
      </c>
      <c r="AP54" s="1228">
        <v>5</v>
      </c>
      <c r="AQ54" s="1228">
        <v>3</v>
      </c>
      <c r="AR54" s="1040">
        <v>482310</v>
      </c>
      <c r="AS54" s="1229">
        <v>240.1</v>
      </c>
      <c r="AT54" s="1108">
        <v>624742</v>
      </c>
      <c r="AU54" s="1107">
        <v>13</v>
      </c>
      <c r="AV54" s="1040">
        <v>1</v>
      </c>
      <c r="AW54" s="1040">
        <v>1</v>
      </c>
      <c r="AX54" s="1228">
        <v>8</v>
      </c>
      <c r="AY54" s="1040">
        <v>3</v>
      </c>
      <c r="AZ54" s="1040">
        <v>0</v>
      </c>
      <c r="BA54" s="1040">
        <v>0</v>
      </c>
      <c r="BB54" s="1040">
        <v>0</v>
      </c>
      <c r="BC54" s="1040">
        <v>0</v>
      </c>
      <c r="BD54" s="1040">
        <v>0</v>
      </c>
      <c r="BE54" s="1108">
        <v>32</v>
      </c>
      <c r="BF54" s="1180"/>
      <c r="BG54" s="1039">
        <v>15</v>
      </c>
      <c r="BH54" s="1040">
        <v>43988</v>
      </c>
      <c r="BI54" s="1040">
        <v>2</v>
      </c>
      <c r="BJ54" s="1228">
        <v>54824</v>
      </c>
      <c r="BK54" s="1040">
        <v>9</v>
      </c>
      <c r="BL54" s="1040">
        <v>9</v>
      </c>
      <c r="BM54" s="1040">
        <v>128158</v>
      </c>
      <c r="BN54" s="1040">
        <v>3</v>
      </c>
      <c r="BO54" s="1040">
        <v>872</v>
      </c>
      <c r="BP54" s="1040">
        <v>10</v>
      </c>
      <c r="BQ54" s="1108">
        <v>48</v>
      </c>
      <c r="BR54" s="1180"/>
      <c r="BS54" s="1230">
        <v>6</v>
      </c>
      <c r="BT54" s="1231">
        <v>808</v>
      </c>
      <c r="BU54" s="1225"/>
      <c r="BV54" s="1039">
        <v>0</v>
      </c>
      <c r="BW54" s="1134">
        <v>0</v>
      </c>
      <c r="BX54" s="1040">
        <v>0</v>
      </c>
      <c r="BY54" s="1107">
        <v>58</v>
      </c>
      <c r="BZ54" s="1040">
        <v>2150</v>
      </c>
      <c r="CA54" s="1040">
        <v>1866</v>
      </c>
      <c r="CB54" s="1107">
        <v>31</v>
      </c>
      <c r="CC54" s="1134">
        <v>1084</v>
      </c>
      <c r="CD54" s="1108">
        <v>1102</v>
      </c>
      <c r="CE54" s="1180"/>
      <c r="CF54" s="1039">
        <v>251</v>
      </c>
      <c r="CG54" s="1040">
        <v>54</v>
      </c>
      <c r="CH54" s="1040">
        <v>14</v>
      </c>
      <c r="CI54" s="1040">
        <v>14</v>
      </c>
      <c r="CJ54" s="1040">
        <v>2</v>
      </c>
      <c r="CK54" s="1228">
        <v>3</v>
      </c>
      <c r="CL54" s="1228">
        <v>3</v>
      </c>
      <c r="CM54" s="1040">
        <v>60</v>
      </c>
      <c r="CN54" s="1228">
        <v>8951</v>
      </c>
      <c r="CO54" s="1228">
        <v>128</v>
      </c>
      <c r="CP54" s="1228">
        <v>203</v>
      </c>
      <c r="CQ54" s="1108">
        <v>198</v>
      </c>
      <c r="CR54" s="1180"/>
      <c r="CS54" s="1039">
        <v>229</v>
      </c>
      <c r="CT54" s="1228">
        <v>52</v>
      </c>
      <c r="CU54" s="1228">
        <v>22</v>
      </c>
      <c r="CV54" s="1228">
        <v>18</v>
      </c>
      <c r="CW54" s="1228">
        <v>79</v>
      </c>
      <c r="CX54" s="1232">
        <v>58</v>
      </c>
      <c r="CY54" s="1232">
        <v>0</v>
      </c>
      <c r="CZ54" s="1040">
        <v>895069</v>
      </c>
      <c r="DA54" s="1108">
        <v>37674</v>
      </c>
    </row>
    <row r="55" spans="1:105" s="1078" customFormat="1" ht="15.75" customHeight="1" x14ac:dyDescent="0.2">
      <c r="A55" s="1093" t="s">
        <v>204</v>
      </c>
      <c r="B55" s="1038">
        <v>43</v>
      </c>
      <c r="C55" s="1094">
        <v>2627</v>
      </c>
      <c r="D55" s="1094">
        <v>386</v>
      </c>
      <c r="E55" s="1094">
        <v>11</v>
      </c>
      <c r="F55" s="1094">
        <v>8</v>
      </c>
      <c r="G55" s="1094">
        <v>1460</v>
      </c>
      <c r="H55" s="1094">
        <v>826</v>
      </c>
      <c r="I55" s="1175">
        <v>166</v>
      </c>
      <c r="J55" s="1038">
        <v>63</v>
      </c>
      <c r="K55" s="1027">
        <v>26941</v>
      </c>
      <c r="L55" s="1219">
        <v>2055</v>
      </c>
      <c r="M55" s="1027" t="s">
        <v>143</v>
      </c>
      <c r="N55" s="1027" t="s">
        <v>143</v>
      </c>
      <c r="O55" s="1027" t="s">
        <v>143</v>
      </c>
      <c r="P55" s="1219">
        <v>26</v>
      </c>
      <c r="Q55" s="1027">
        <v>12730</v>
      </c>
      <c r="R55" s="1027">
        <v>1085</v>
      </c>
      <c r="S55" s="1027">
        <v>2</v>
      </c>
      <c r="T55" s="1027">
        <v>617</v>
      </c>
      <c r="U55" s="1117">
        <v>72</v>
      </c>
      <c r="V55" s="1094" t="s">
        <v>143</v>
      </c>
      <c r="W55" s="1027" t="s">
        <v>143</v>
      </c>
      <c r="X55" s="1027" t="s">
        <v>143</v>
      </c>
      <c r="Y55" s="1027" t="s">
        <v>143</v>
      </c>
      <c r="Z55" s="1027" t="s">
        <v>143</v>
      </c>
      <c r="AA55" s="1027" t="s">
        <v>143</v>
      </c>
      <c r="AB55" s="1027" t="s">
        <v>143</v>
      </c>
      <c r="AC55" s="1027" t="s">
        <v>143</v>
      </c>
      <c r="AD55" s="1027" t="s">
        <v>143</v>
      </c>
      <c r="AE55" s="1027">
        <v>15</v>
      </c>
      <c r="AF55" s="1027">
        <v>11861</v>
      </c>
      <c r="AG55" s="1117">
        <v>1255</v>
      </c>
      <c r="AH55" s="1038">
        <v>5</v>
      </c>
      <c r="AI55" s="1027">
        <v>600</v>
      </c>
      <c r="AJ55" s="1027">
        <v>142</v>
      </c>
      <c r="AK55" s="1027" t="s">
        <v>143</v>
      </c>
      <c r="AL55" s="1027" t="s">
        <v>143</v>
      </c>
      <c r="AM55" s="1219" t="s">
        <v>143</v>
      </c>
      <c r="AN55" s="1027">
        <v>1</v>
      </c>
      <c r="AO55" s="1027" t="s">
        <v>143</v>
      </c>
      <c r="AP55" s="1219">
        <v>3</v>
      </c>
      <c r="AQ55" s="1219">
        <v>6</v>
      </c>
      <c r="AR55" s="1027">
        <v>1302215</v>
      </c>
      <c r="AS55" s="1101">
        <v>270.39999999999998</v>
      </c>
      <c r="AT55" s="1117">
        <v>2718072</v>
      </c>
      <c r="AU55" s="1094">
        <v>18</v>
      </c>
      <c r="AV55" s="1027" t="s">
        <v>143</v>
      </c>
      <c r="AW55" s="1027">
        <v>3</v>
      </c>
      <c r="AX55" s="1219">
        <v>13</v>
      </c>
      <c r="AY55" s="1027">
        <v>2</v>
      </c>
      <c r="AZ55" s="1027" t="s">
        <v>143</v>
      </c>
      <c r="BA55" s="1027" t="s">
        <v>143</v>
      </c>
      <c r="BB55" s="1027" t="s">
        <v>143</v>
      </c>
      <c r="BC55" s="1027" t="s">
        <v>143</v>
      </c>
      <c r="BD55" s="1027" t="s">
        <v>143</v>
      </c>
      <c r="BE55" s="1117">
        <v>48</v>
      </c>
      <c r="BF55" s="1180"/>
      <c r="BG55" s="1038">
        <v>6</v>
      </c>
      <c r="BH55" s="1027">
        <v>19090</v>
      </c>
      <c r="BI55" s="1027">
        <v>2</v>
      </c>
      <c r="BJ55" s="1219">
        <v>47000</v>
      </c>
      <c r="BK55" s="1027">
        <v>10</v>
      </c>
      <c r="BL55" s="1027">
        <v>10</v>
      </c>
      <c r="BM55" s="1027">
        <v>137277</v>
      </c>
      <c r="BN55" s="1027">
        <v>5</v>
      </c>
      <c r="BO55" s="1027">
        <v>8011</v>
      </c>
      <c r="BP55" s="1027">
        <v>8</v>
      </c>
      <c r="BQ55" s="1117">
        <v>43</v>
      </c>
      <c r="BR55" s="1180"/>
      <c r="BS55" s="1223">
        <v>5</v>
      </c>
      <c r="BT55" s="1224">
        <v>6060</v>
      </c>
      <c r="BU55" s="1225"/>
      <c r="BV55" s="1038">
        <v>0</v>
      </c>
      <c r="BW55" s="1027">
        <v>0</v>
      </c>
      <c r="BX55" s="1027">
        <v>0</v>
      </c>
      <c r="BY55" s="1027">
        <v>153</v>
      </c>
      <c r="BZ55" s="1027">
        <v>5532</v>
      </c>
      <c r="CA55" s="1027">
        <v>5532</v>
      </c>
      <c r="CB55" s="1094">
        <v>0</v>
      </c>
      <c r="CC55" s="1027">
        <v>0</v>
      </c>
      <c r="CD55" s="1117">
        <v>0</v>
      </c>
      <c r="CE55" s="1180"/>
      <c r="CF55" s="1038">
        <v>467</v>
      </c>
      <c r="CG55" s="1027">
        <v>77</v>
      </c>
      <c r="CH55" s="1027">
        <v>20</v>
      </c>
      <c r="CI55" s="1027">
        <v>20</v>
      </c>
      <c r="CJ55" s="1027">
        <v>4</v>
      </c>
      <c r="CK55" s="1219">
        <v>3</v>
      </c>
      <c r="CL55" s="1219">
        <v>8</v>
      </c>
      <c r="CM55" s="1027">
        <v>120</v>
      </c>
      <c r="CN55" s="1219">
        <v>23643</v>
      </c>
      <c r="CO55" s="1219">
        <v>254</v>
      </c>
      <c r="CP55" s="1219">
        <v>193</v>
      </c>
      <c r="CQ55" s="1117">
        <v>193</v>
      </c>
      <c r="CR55" s="1180"/>
      <c r="CS55" s="1098">
        <v>225</v>
      </c>
      <c r="CT55" s="1219">
        <v>18</v>
      </c>
      <c r="CU55" s="1219">
        <v>12</v>
      </c>
      <c r="CV55" s="1219">
        <v>123</v>
      </c>
      <c r="CW55" s="1219">
        <v>12</v>
      </c>
      <c r="CX55" s="1219">
        <v>60</v>
      </c>
      <c r="CY55" s="1219" t="s">
        <v>143</v>
      </c>
      <c r="CZ55" s="1027">
        <v>1475496</v>
      </c>
      <c r="DA55" s="1117">
        <v>6556</v>
      </c>
    </row>
    <row r="56" spans="1:105" s="1078" customFormat="1" ht="15.75" customHeight="1" x14ac:dyDescent="0.2">
      <c r="A56" s="1106" t="s">
        <v>254</v>
      </c>
      <c r="B56" s="1039" t="s">
        <v>143</v>
      </c>
      <c r="C56" s="1107" t="s">
        <v>143</v>
      </c>
      <c r="D56" s="1107" t="s">
        <v>143</v>
      </c>
      <c r="E56" s="1107">
        <v>18</v>
      </c>
      <c r="F56" s="1107" t="s">
        <v>143</v>
      </c>
      <c r="G56" s="1107">
        <v>1569</v>
      </c>
      <c r="H56" s="1107">
        <v>1207</v>
      </c>
      <c r="I56" s="1227">
        <v>192</v>
      </c>
      <c r="J56" s="1039">
        <v>37</v>
      </c>
      <c r="K56" s="1040">
        <v>10125</v>
      </c>
      <c r="L56" s="1228">
        <v>674</v>
      </c>
      <c r="M56" s="1040" t="s">
        <v>143</v>
      </c>
      <c r="N56" s="1040" t="s">
        <v>143</v>
      </c>
      <c r="O56" s="1040" t="s">
        <v>143</v>
      </c>
      <c r="P56" s="1228">
        <v>27</v>
      </c>
      <c r="Q56" s="1040">
        <v>4935</v>
      </c>
      <c r="R56" s="1040">
        <v>447</v>
      </c>
      <c r="S56" s="1040">
        <v>1</v>
      </c>
      <c r="T56" s="1040">
        <v>50</v>
      </c>
      <c r="U56" s="1108">
        <v>7</v>
      </c>
      <c r="V56" s="1107" t="s">
        <v>143</v>
      </c>
      <c r="W56" s="1040" t="s">
        <v>143</v>
      </c>
      <c r="X56" s="1040" t="s">
        <v>143</v>
      </c>
      <c r="Y56" s="1040" t="s">
        <v>143</v>
      </c>
      <c r="Z56" s="1040" t="s">
        <v>143</v>
      </c>
      <c r="AA56" s="1040" t="s">
        <v>143</v>
      </c>
      <c r="AB56" s="1040">
        <v>1</v>
      </c>
      <c r="AC56" s="1040">
        <v>479</v>
      </c>
      <c r="AD56" s="1040">
        <v>43</v>
      </c>
      <c r="AE56" s="1040">
        <v>10</v>
      </c>
      <c r="AF56" s="1040">
        <v>3997</v>
      </c>
      <c r="AG56" s="1108">
        <v>377</v>
      </c>
      <c r="AH56" s="1039" t="s">
        <v>143</v>
      </c>
      <c r="AI56" s="1040" t="s">
        <v>143</v>
      </c>
      <c r="AJ56" s="1040" t="s">
        <v>143</v>
      </c>
      <c r="AK56" s="1040">
        <v>3</v>
      </c>
      <c r="AL56" s="1040">
        <v>90</v>
      </c>
      <c r="AM56" s="1228">
        <v>38</v>
      </c>
      <c r="AN56" s="1040" t="s">
        <v>143</v>
      </c>
      <c r="AO56" s="1040" t="s">
        <v>143</v>
      </c>
      <c r="AP56" s="1228">
        <v>2</v>
      </c>
      <c r="AQ56" s="1228">
        <v>7</v>
      </c>
      <c r="AR56" s="1040">
        <v>782452</v>
      </c>
      <c r="AS56" s="1229">
        <v>354</v>
      </c>
      <c r="AT56" s="1108">
        <v>969874</v>
      </c>
      <c r="AU56" s="1107">
        <v>15</v>
      </c>
      <c r="AV56" s="1040">
        <v>1</v>
      </c>
      <c r="AW56" s="1040">
        <v>2</v>
      </c>
      <c r="AX56" s="1228">
        <v>8</v>
      </c>
      <c r="AY56" s="1040">
        <v>4</v>
      </c>
      <c r="AZ56" s="1032" t="s">
        <v>143</v>
      </c>
      <c r="BA56" s="1032" t="s">
        <v>143</v>
      </c>
      <c r="BB56" s="1032" t="s">
        <v>143</v>
      </c>
      <c r="BC56" s="1032" t="s">
        <v>143</v>
      </c>
      <c r="BD56" s="1032" t="s">
        <v>143</v>
      </c>
      <c r="BE56" s="1108">
        <v>23</v>
      </c>
      <c r="BF56" s="1180"/>
      <c r="BG56" s="1039">
        <v>10</v>
      </c>
      <c r="BH56" s="1040">
        <v>29807</v>
      </c>
      <c r="BI56" s="1040">
        <v>1</v>
      </c>
      <c r="BJ56" s="1228">
        <v>20800</v>
      </c>
      <c r="BK56" s="1040">
        <v>3</v>
      </c>
      <c r="BL56" s="1040">
        <v>3</v>
      </c>
      <c r="BM56" s="1040">
        <v>62500</v>
      </c>
      <c r="BN56" s="1040">
        <v>9</v>
      </c>
      <c r="BO56" s="1040">
        <v>4763</v>
      </c>
      <c r="BP56" s="1040">
        <v>7</v>
      </c>
      <c r="BQ56" s="1108">
        <v>33</v>
      </c>
      <c r="BR56" s="1180"/>
      <c r="BS56" s="1230">
        <v>7</v>
      </c>
      <c r="BT56" s="1231">
        <v>4693</v>
      </c>
      <c r="BU56" s="1225"/>
      <c r="BV56" s="1039">
        <v>55</v>
      </c>
      <c r="BW56" s="1040">
        <v>0</v>
      </c>
      <c r="BX56" s="1040">
        <v>2632</v>
      </c>
      <c r="BY56" s="1107">
        <v>0</v>
      </c>
      <c r="BZ56" s="1040">
        <v>0</v>
      </c>
      <c r="CA56" s="1040">
        <v>0</v>
      </c>
      <c r="CB56" s="1107">
        <v>5</v>
      </c>
      <c r="CC56" s="1040">
        <v>180</v>
      </c>
      <c r="CD56" s="1108">
        <v>201</v>
      </c>
      <c r="CE56" s="1180"/>
      <c r="CF56" s="1039">
        <v>351</v>
      </c>
      <c r="CG56" s="1040">
        <v>72</v>
      </c>
      <c r="CH56" s="1040">
        <v>16</v>
      </c>
      <c r="CI56" s="1040">
        <v>6</v>
      </c>
      <c r="CJ56" s="1040">
        <v>2</v>
      </c>
      <c r="CK56" s="1228">
        <v>2</v>
      </c>
      <c r="CL56" s="1228">
        <v>10</v>
      </c>
      <c r="CM56" s="1040">
        <v>64</v>
      </c>
      <c r="CN56" s="1228">
        <v>9865</v>
      </c>
      <c r="CO56" s="1228">
        <v>56</v>
      </c>
      <c r="CP56" s="1228">
        <v>468</v>
      </c>
      <c r="CQ56" s="1108">
        <v>360</v>
      </c>
      <c r="CR56" s="1180"/>
      <c r="CS56" s="1039">
        <v>260</v>
      </c>
      <c r="CT56" s="1228">
        <v>37</v>
      </c>
      <c r="CU56" s="1228">
        <v>3</v>
      </c>
      <c r="CV56" s="1228">
        <v>135</v>
      </c>
      <c r="CW56" s="1228">
        <v>19</v>
      </c>
      <c r="CX56" s="1232">
        <v>16</v>
      </c>
      <c r="CY56" s="1232">
        <v>50</v>
      </c>
      <c r="CZ56" s="1040">
        <v>1097212</v>
      </c>
      <c r="DA56" s="1108">
        <v>109009</v>
      </c>
    </row>
    <row r="57" spans="1:105" s="1078" customFormat="1" ht="15.75" customHeight="1" x14ac:dyDescent="0.2">
      <c r="A57" s="1093" t="s">
        <v>207</v>
      </c>
      <c r="B57" s="1038">
        <v>25</v>
      </c>
      <c r="C57" s="1094">
        <v>339</v>
      </c>
      <c r="D57" s="1094">
        <v>76</v>
      </c>
      <c r="E57" s="1094">
        <v>14</v>
      </c>
      <c r="F57" s="1094">
        <v>4</v>
      </c>
      <c r="G57" s="1094">
        <v>2426</v>
      </c>
      <c r="H57" s="1094">
        <v>976</v>
      </c>
      <c r="I57" s="1175">
        <v>224</v>
      </c>
      <c r="J57" s="1038">
        <v>76</v>
      </c>
      <c r="K57" s="1027">
        <v>24956</v>
      </c>
      <c r="L57" s="1219">
        <v>1594</v>
      </c>
      <c r="M57" s="1027">
        <v>3</v>
      </c>
      <c r="N57" s="1027">
        <v>820</v>
      </c>
      <c r="O57" s="1027">
        <v>70</v>
      </c>
      <c r="P57" s="1219">
        <v>34</v>
      </c>
      <c r="Q57" s="1027">
        <v>11206</v>
      </c>
      <c r="R57" s="1027">
        <v>756</v>
      </c>
      <c r="S57" s="1027">
        <v>6</v>
      </c>
      <c r="T57" s="1027">
        <v>1628</v>
      </c>
      <c r="U57" s="1117">
        <v>128</v>
      </c>
      <c r="V57" s="1094">
        <v>1</v>
      </c>
      <c r="W57" s="1027">
        <v>200</v>
      </c>
      <c r="X57" s="1027">
        <v>23</v>
      </c>
      <c r="Y57" s="1027" t="s">
        <v>143</v>
      </c>
      <c r="Z57" s="1027" t="s">
        <v>143</v>
      </c>
      <c r="AA57" s="1027" t="s">
        <v>143</v>
      </c>
      <c r="AB57" s="1027">
        <v>1</v>
      </c>
      <c r="AC57" s="1027">
        <v>586</v>
      </c>
      <c r="AD57" s="1027">
        <v>50</v>
      </c>
      <c r="AE57" s="1027">
        <v>17</v>
      </c>
      <c r="AF57" s="1027">
        <v>9730</v>
      </c>
      <c r="AG57" s="1117">
        <v>731</v>
      </c>
      <c r="AH57" s="1038" t="s">
        <v>143</v>
      </c>
      <c r="AI57" s="1027" t="s">
        <v>143</v>
      </c>
      <c r="AJ57" s="1027" t="s">
        <v>143</v>
      </c>
      <c r="AK57" s="1027">
        <v>8</v>
      </c>
      <c r="AL57" s="1027">
        <v>1674</v>
      </c>
      <c r="AM57" s="1027">
        <v>118</v>
      </c>
      <c r="AN57" s="1027" t="s">
        <v>143</v>
      </c>
      <c r="AO57" s="1027">
        <v>1</v>
      </c>
      <c r="AP57" s="1219">
        <v>3</v>
      </c>
      <c r="AQ57" s="1219">
        <v>7</v>
      </c>
      <c r="AR57" s="1027">
        <v>1188972</v>
      </c>
      <c r="AS57" s="1222">
        <v>254.1</v>
      </c>
      <c r="AT57" s="1117">
        <v>2698670</v>
      </c>
      <c r="AU57" s="1094">
        <v>13</v>
      </c>
      <c r="AV57" s="1027" t="s">
        <v>143</v>
      </c>
      <c r="AW57" s="1027" t="s">
        <v>143</v>
      </c>
      <c r="AX57" s="1219">
        <v>10</v>
      </c>
      <c r="AY57" s="1027">
        <v>3</v>
      </c>
      <c r="AZ57" s="1027" t="s">
        <v>143</v>
      </c>
      <c r="BA57" s="1027" t="s">
        <v>143</v>
      </c>
      <c r="BB57" s="1027" t="s">
        <v>143</v>
      </c>
      <c r="BC57" s="1027" t="s">
        <v>143</v>
      </c>
      <c r="BD57" s="1027" t="s">
        <v>143</v>
      </c>
      <c r="BE57" s="1117">
        <v>78</v>
      </c>
      <c r="BF57" s="1180"/>
      <c r="BG57" s="1038">
        <v>6</v>
      </c>
      <c r="BH57" s="1027">
        <v>34513.39</v>
      </c>
      <c r="BI57" s="1027">
        <v>1</v>
      </c>
      <c r="BJ57" s="1219">
        <v>25000</v>
      </c>
      <c r="BK57" s="1027">
        <v>5</v>
      </c>
      <c r="BL57" s="1027">
        <v>6</v>
      </c>
      <c r="BM57" s="1027">
        <v>118617</v>
      </c>
      <c r="BN57" s="1027">
        <v>4</v>
      </c>
      <c r="BO57" s="1027">
        <v>3035.47</v>
      </c>
      <c r="BP57" s="1027">
        <v>10</v>
      </c>
      <c r="BQ57" s="1117">
        <v>59</v>
      </c>
      <c r="BR57" s="1180"/>
      <c r="BS57" s="1263">
        <v>7</v>
      </c>
      <c r="BT57" s="1264">
        <v>5263</v>
      </c>
      <c r="BU57" s="1261"/>
      <c r="BV57" s="1038">
        <v>69</v>
      </c>
      <c r="BW57" s="1027" t="s">
        <v>143</v>
      </c>
      <c r="BX57" s="1027">
        <v>5859</v>
      </c>
      <c r="BY57" s="1094" t="s">
        <v>143</v>
      </c>
      <c r="BZ57" s="1027" t="s">
        <v>143</v>
      </c>
      <c r="CA57" s="1027" t="s">
        <v>143</v>
      </c>
      <c r="CB57" s="1094">
        <v>3</v>
      </c>
      <c r="CC57" s="1027" t="s">
        <v>143</v>
      </c>
      <c r="CD57" s="1117">
        <v>113</v>
      </c>
      <c r="CE57" s="1180"/>
      <c r="CF57" s="1038">
        <v>552</v>
      </c>
      <c r="CG57" s="1027">
        <v>94</v>
      </c>
      <c r="CH57" s="1027">
        <v>21</v>
      </c>
      <c r="CI57" s="1027">
        <v>21</v>
      </c>
      <c r="CJ57" s="1027">
        <v>8</v>
      </c>
      <c r="CK57" s="1219">
        <v>1</v>
      </c>
      <c r="CL57" s="1219">
        <v>6</v>
      </c>
      <c r="CM57" s="1027">
        <v>95</v>
      </c>
      <c r="CN57" s="1219">
        <v>22889</v>
      </c>
      <c r="CO57" s="1219">
        <v>251</v>
      </c>
      <c r="CP57" s="1219">
        <v>450</v>
      </c>
      <c r="CQ57" s="1117">
        <v>384</v>
      </c>
      <c r="CR57" s="1180"/>
      <c r="CS57" s="1038">
        <f>SUM(CT57:CX57)</f>
        <v>146</v>
      </c>
      <c r="CT57" s="1219">
        <v>60</v>
      </c>
      <c r="CU57" s="1219">
        <v>10</v>
      </c>
      <c r="CV57" s="1219">
        <v>15</v>
      </c>
      <c r="CW57" s="1219">
        <v>16</v>
      </c>
      <c r="CX57" s="1226">
        <v>45</v>
      </c>
      <c r="CY57" s="1226" t="s">
        <v>143</v>
      </c>
      <c r="CZ57" s="1027">
        <v>1383663.76</v>
      </c>
      <c r="DA57" s="1117">
        <v>109788.65</v>
      </c>
    </row>
    <row r="58" spans="1:105" s="1078" customFormat="1" ht="15.75" customHeight="1" x14ac:dyDescent="0.2">
      <c r="A58" s="1106" t="s">
        <v>209</v>
      </c>
      <c r="B58" s="1036">
        <v>6</v>
      </c>
      <c r="C58" s="1119">
        <v>269</v>
      </c>
      <c r="D58" s="1119">
        <v>28</v>
      </c>
      <c r="E58" s="1119">
        <v>7</v>
      </c>
      <c r="F58" s="1119">
        <v>4</v>
      </c>
      <c r="G58" s="1119">
        <v>274</v>
      </c>
      <c r="H58" s="1119">
        <v>274</v>
      </c>
      <c r="I58" s="1265">
        <v>45</v>
      </c>
      <c r="J58" s="1036">
        <v>44</v>
      </c>
      <c r="K58" s="1032">
        <v>12069</v>
      </c>
      <c r="L58" s="1033">
        <v>1032</v>
      </c>
      <c r="M58" s="1032" t="s">
        <v>143</v>
      </c>
      <c r="N58" s="1032" t="s">
        <v>143</v>
      </c>
      <c r="O58" s="1032" t="s">
        <v>143</v>
      </c>
      <c r="P58" s="1033">
        <v>22</v>
      </c>
      <c r="Q58" s="1032">
        <v>5817</v>
      </c>
      <c r="R58" s="1032">
        <v>555</v>
      </c>
      <c r="S58" s="1032">
        <v>1</v>
      </c>
      <c r="T58" s="1032">
        <v>53</v>
      </c>
      <c r="U58" s="1034">
        <v>11</v>
      </c>
      <c r="V58" s="1119" t="s">
        <v>143</v>
      </c>
      <c r="W58" s="1032" t="s">
        <v>143</v>
      </c>
      <c r="X58" s="1032" t="s">
        <v>143</v>
      </c>
      <c r="Y58" s="1032" t="s">
        <v>143</v>
      </c>
      <c r="Z58" s="1032" t="s">
        <v>143</v>
      </c>
      <c r="AA58" s="1032" t="s">
        <v>143</v>
      </c>
      <c r="AB58" s="1032">
        <v>1</v>
      </c>
      <c r="AC58" s="1032">
        <v>512</v>
      </c>
      <c r="AD58" s="1032">
        <v>57</v>
      </c>
      <c r="AE58" s="1032">
        <v>13</v>
      </c>
      <c r="AF58" s="1032">
        <v>4645</v>
      </c>
      <c r="AG58" s="1034">
        <v>481</v>
      </c>
      <c r="AH58" s="1036">
        <v>1</v>
      </c>
      <c r="AI58" s="1032">
        <v>9</v>
      </c>
      <c r="AJ58" s="1032">
        <v>5</v>
      </c>
      <c r="AK58" s="1032">
        <v>3</v>
      </c>
      <c r="AL58" s="1032">
        <v>146</v>
      </c>
      <c r="AM58" s="1033">
        <v>25</v>
      </c>
      <c r="AN58" s="1032" t="s">
        <v>143</v>
      </c>
      <c r="AO58" s="1032">
        <v>1</v>
      </c>
      <c r="AP58" s="1033">
        <v>3</v>
      </c>
      <c r="AQ58" s="1033">
        <v>6</v>
      </c>
      <c r="AR58" s="1032">
        <v>778025</v>
      </c>
      <c r="AS58" s="1233">
        <v>300</v>
      </c>
      <c r="AT58" s="1034">
        <v>1195928</v>
      </c>
      <c r="AU58" s="1119">
        <v>21</v>
      </c>
      <c r="AV58" s="1032" t="s">
        <v>143</v>
      </c>
      <c r="AW58" s="1134">
        <v>2</v>
      </c>
      <c r="AX58" s="1033">
        <v>16</v>
      </c>
      <c r="AY58" s="1032">
        <v>1</v>
      </c>
      <c r="AZ58" s="1032" t="s">
        <v>143</v>
      </c>
      <c r="BA58" s="1032" t="s">
        <v>143</v>
      </c>
      <c r="BB58" s="1032" t="s">
        <v>143</v>
      </c>
      <c r="BC58" s="1032" t="s">
        <v>143</v>
      </c>
      <c r="BD58" s="1032">
        <v>1</v>
      </c>
      <c r="BE58" s="1034">
        <v>34</v>
      </c>
      <c r="BF58" s="1180"/>
      <c r="BG58" s="1036">
        <v>9</v>
      </c>
      <c r="BH58" s="1032">
        <v>20357.66</v>
      </c>
      <c r="BI58" s="1032">
        <v>1</v>
      </c>
      <c r="BJ58" s="1033">
        <v>7532.29</v>
      </c>
      <c r="BK58" s="1032">
        <v>5</v>
      </c>
      <c r="BL58" s="1032">
        <v>5</v>
      </c>
      <c r="BM58" s="1032">
        <v>94095.41</v>
      </c>
      <c r="BN58" s="1032">
        <v>3</v>
      </c>
      <c r="BO58" s="1032">
        <v>4062.25</v>
      </c>
      <c r="BP58" s="1032">
        <v>7</v>
      </c>
      <c r="BQ58" s="1034">
        <v>32</v>
      </c>
      <c r="BR58" s="1180"/>
      <c r="BS58" s="1234">
        <f>1+1+1</f>
        <v>3</v>
      </c>
      <c r="BT58" s="1235">
        <f>1469+805+702</f>
        <v>2976</v>
      </c>
      <c r="BU58" s="1225"/>
      <c r="BV58" s="1036">
        <v>38</v>
      </c>
      <c r="BW58" s="1032">
        <v>3010</v>
      </c>
      <c r="BX58" s="1032">
        <v>2450</v>
      </c>
      <c r="BY58" s="1119" t="s">
        <v>143</v>
      </c>
      <c r="BZ58" s="1032" t="s">
        <v>143</v>
      </c>
      <c r="CA58" s="1032" t="s">
        <v>143</v>
      </c>
      <c r="CB58" s="1119">
        <v>1</v>
      </c>
      <c r="CC58" s="1032">
        <v>25</v>
      </c>
      <c r="CD58" s="1034">
        <v>23</v>
      </c>
      <c r="CE58" s="1180"/>
      <c r="CF58" s="1036">
        <v>329</v>
      </c>
      <c r="CG58" s="1032">
        <v>43</v>
      </c>
      <c r="CH58" s="1032">
        <v>13</v>
      </c>
      <c r="CI58" s="1032">
        <v>13</v>
      </c>
      <c r="CJ58" s="1032">
        <v>6</v>
      </c>
      <c r="CK58" s="1033" t="s">
        <v>143</v>
      </c>
      <c r="CL58" s="1033">
        <v>4</v>
      </c>
      <c r="CM58" s="1032">
        <v>78</v>
      </c>
      <c r="CN58" s="1033">
        <v>15076</v>
      </c>
      <c r="CO58" s="1033">
        <v>130</v>
      </c>
      <c r="CP58" s="1033">
        <v>236</v>
      </c>
      <c r="CQ58" s="1034">
        <v>181</v>
      </c>
      <c r="CR58" s="1180"/>
      <c r="CS58" s="1036">
        <v>133</v>
      </c>
      <c r="CT58" s="1033">
        <v>29</v>
      </c>
      <c r="CU58" s="1033">
        <v>53</v>
      </c>
      <c r="CV58" s="1033">
        <v>8</v>
      </c>
      <c r="CW58" s="1033">
        <v>9</v>
      </c>
      <c r="CX58" s="1269">
        <v>34</v>
      </c>
      <c r="CY58" s="1269" t="s">
        <v>143</v>
      </c>
      <c r="CZ58" s="1032">
        <v>1501532</v>
      </c>
      <c r="DA58" s="1034">
        <v>26983</v>
      </c>
    </row>
    <row r="59" spans="1:105" s="1078" customFormat="1" ht="15.75" customHeight="1" x14ac:dyDescent="0.2">
      <c r="A59" s="1093" t="s">
        <v>210</v>
      </c>
      <c r="B59" s="1038">
        <v>22</v>
      </c>
      <c r="C59" s="1094">
        <v>851</v>
      </c>
      <c r="D59" s="1094">
        <v>156</v>
      </c>
      <c r="E59" s="1094">
        <v>23</v>
      </c>
      <c r="F59" s="1094">
        <v>7</v>
      </c>
      <c r="G59" s="1094">
        <v>3595</v>
      </c>
      <c r="H59" s="1094">
        <v>694</v>
      </c>
      <c r="I59" s="1175">
        <v>395</v>
      </c>
      <c r="J59" s="1038">
        <v>51</v>
      </c>
      <c r="K59" s="1027">
        <v>22599</v>
      </c>
      <c r="L59" s="1219">
        <v>1630</v>
      </c>
      <c r="M59" s="1027">
        <v>1</v>
      </c>
      <c r="N59" s="1027">
        <v>619</v>
      </c>
      <c r="O59" s="1027">
        <v>26</v>
      </c>
      <c r="P59" s="1219">
        <v>24</v>
      </c>
      <c r="Q59" s="1027">
        <v>10844</v>
      </c>
      <c r="R59" s="1027">
        <v>903</v>
      </c>
      <c r="S59" s="1027">
        <v>5</v>
      </c>
      <c r="T59" s="1027">
        <v>957</v>
      </c>
      <c r="U59" s="1117">
        <v>87</v>
      </c>
      <c r="V59" s="1094" t="s">
        <v>143</v>
      </c>
      <c r="W59" s="1027" t="s">
        <v>143</v>
      </c>
      <c r="X59" s="1027" t="s">
        <v>143</v>
      </c>
      <c r="Y59" s="1027" t="s">
        <v>143</v>
      </c>
      <c r="Z59" s="1027" t="s">
        <v>143</v>
      </c>
      <c r="AA59" s="1027" t="s">
        <v>143</v>
      </c>
      <c r="AB59" s="1027">
        <v>1</v>
      </c>
      <c r="AC59" s="1027">
        <v>911</v>
      </c>
      <c r="AD59" s="1027">
        <v>73</v>
      </c>
      <c r="AE59" s="1027">
        <v>13</v>
      </c>
      <c r="AF59" s="1027">
        <v>10859</v>
      </c>
      <c r="AG59" s="1117">
        <v>945</v>
      </c>
      <c r="AH59" s="1038" t="s">
        <v>143</v>
      </c>
      <c r="AI59" s="1027" t="s">
        <v>143</v>
      </c>
      <c r="AJ59" s="1027" t="s">
        <v>143</v>
      </c>
      <c r="AK59" s="1027">
        <v>4</v>
      </c>
      <c r="AL59" s="1027">
        <v>672</v>
      </c>
      <c r="AM59" s="1219">
        <v>50</v>
      </c>
      <c r="AN59" s="1027" t="s">
        <v>143</v>
      </c>
      <c r="AO59" s="1027" t="s">
        <v>143</v>
      </c>
      <c r="AP59" s="1219" t="s">
        <v>143</v>
      </c>
      <c r="AQ59" s="1219">
        <v>5</v>
      </c>
      <c r="AR59" s="1027">
        <v>1423151</v>
      </c>
      <c r="AS59" s="1222">
        <v>341.56</v>
      </c>
      <c r="AT59" s="1117">
        <v>2773110</v>
      </c>
      <c r="AU59" s="1094">
        <v>13</v>
      </c>
      <c r="AV59" s="1027">
        <v>2</v>
      </c>
      <c r="AW59" s="1027" t="s">
        <v>143</v>
      </c>
      <c r="AX59" s="1219">
        <v>6</v>
      </c>
      <c r="AY59" s="1027">
        <v>3</v>
      </c>
      <c r="AZ59" s="1027">
        <v>1</v>
      </c>
      <c r="BA59" s="1027" t="s">
        <v>143</v>
      </c>
      <c r="BB59" s="1027" t="s">
        <v>143</v>
      </c>
      <c r="BC59" s="1027" t="s">
        <v>143</v>
      </c>
      <c r="BD59" s="1027">
        <v>1</v>
      </c>
      <c r="BE59" s="1030" t="s">
        <v>139</v>
      </c>
      <c r="BF59" s="1180"/>
      <c r="BG59" s="1038">
        <v>13</v>
      </c>
      <c r="BH59" s="1027">
        <v>34766</v>
      </c>
      <c r="BI59" s="1027">
        <v>1</v>
      </c>
      <c r="BJ59" s="1219">
        <v>52545</v>
      </c>
      <c r="BK59" s="1027">
        <v>9</v>
      </c>
      <c r="BL59" s="1027">
        <v>10</v>
      </c>
      <c r="BM59" s="1027">
        <v>99498</v>
      </c>
      <c r="BN59" s="1027">
        <v>8</v>
      </c>
      <c r="BO59" s="1027">
        <v>4378</v>
      </c>
      <c r="BP59" s="1027">
        <v>12</v>
      </c>
      <c r="BQ59" s="1117">
        <v>42</v>
      </c>
      <c r="BR59" s="1180"/>
      <c r="BS59" s="1223">
        <v>2</v>
      </c>
      <c r="BT59" s="1224">
        <v>1500</v>
      </c>
      <c r="BU59" s="1225"/>
      <c r="BV59" s="1038">
        <v>101</v>
      </c>
      <c r="BW59" s="1027">
        <v>4050</v>
      </c>
      <c r="BX59" s="1027">
        <v>3804</v>
      </c>
      <c r="BY59" s="1094">
        <v>4</v>
      </c>
      <c r="BZ59" s="1027">
        <v>90</v>
      </c>
      <c r="CA59" s="1027">
        <v>74</v>
      </c>
      <c r="CB59" s="1094">
        <v>21</v>
      </c>
      <c r="CC59" s="1027">
        <v>837</v>
      </c>
      <c r="CD59" s="1117">
        <v>744</v>
      </c>
      <c r="CE59" s="1180"/>
      <c r="CF59" s="1038">
        <v>478</v>
      </c>
      <c r="CG59" s="1027">
        <v>77</v>
      </c>
      <c r="CH59" s="1027">
        <v>18</v>
      </c>
      <c r="CI59" s="1027">
        <v>18</v>
      </c>
      <c r="CJ59" s="1027">
        <v>5</v>
      </c>
      <c r="CK59" s="1219">
        <v>4</v>
      </c>
      <c r="CL59" s="1219">
        <v>5</v>
      </c>
      <c r="CM59" s="1027">
        <v>148</v>
      </c>
      <c r="CN59" s="1219">
        <v>23628</v>
      </c>
      <c r="CO59" s="1219">
        <v>152</v>
      </c>
      <c r="CP59" s="1219">
        <v>190</v>
      </c>
      <c r="CQ59" s="1117">
        <v>152</v>
      </c>
      <c r="CR59" s="1180"/>
      <c r="CS59" s="1038">
        <v>209</v>
      </c>
      <c r="CT59" s="1219">
        <v>45</v>
      </c>
      <c r="CU59" s="1219">
        <v>6</v>
      </c>
      <c r="CV59" s="1219">
        <v>95</v>
      </c>
      <c r="CW59" s="1219">
        <v>57</v>
      </c>
      <c r="CX59" s="1226">
        <v>6</v>
      </c>
      <c r="CY59" s="1240" t="s">
        <v>139</v>
      </c>
      <c r="CZ59" s="1027">
        <v>1408986</v>
      </c>
      <c r="DA59" s="1117">
        <v>68665</v>
      </c>
    </row>
    <row r="60" spans="1:105" s="1078" customFormat="1" ht="15.75" customHeight="1" x14ac:dyDescent="0.2">
      <c r="A60" s="1106" t="s">
        <v>212</v>
      </c>
      <c r="B60" s="1039">
        <v>5</v>
      </c>
      <c r="C60" s="1107">
        <v>227</v>
      </c>
      <c r="D60" s="1107">
        <v>29</v>
      </c>
      <c r="E60" s="1107">
        <v>36</v>
      </c>
      <c r="F60" s="1107">
        <v>12</v>
      </c>
      <c r="G60" s="1107">
        <v>5808</v>
      </c>
      <c r="H60" s="1107">
        <v>1038</v>
      </c>
      <c r="I60" s="1227">
        <v>595</v>
      </c>
      <c r="J60" s="1039">
        <v>59</v>
      </c>
      <c r="K60" s="1040">
        <v>26322</v>
      </c>
      <c r="L60" s="1228">
        <v>1517</v>
      </c>
      <c r="M60" s="1040">
        <v>1</v>
      </c>
      <c r="N60" s="1040">
        <v>567</v>
      </c>
      <c r="O60" s="1040">
        <v>31</v>
      </c>
      <c r="P60" s="1228">
        <v>29</v>
      </c>
      <c r="Q60" s="1040">
        <v>11862</v>
      </c>
      <c r="R60" s="1040">
        <v>890</v>
      </c>
      <c r="S60" s="1040">
        <v>3</v>
      </c>
      <c r="T60" s="1040">
        <v>1131</v>
      </c>
      <c r="U60" s="1108">
        <v>94</v>
      </c>
      <c r="V60" s="1107" t="s">
        <v>143</v>
      </c>
      <c r="W60" s="1040" t="s">
        <v>143</v>
      </c>
      <c r="X60" s="1040" t="s">
        <v>143</v>
      </c>
      <c r="Y60" s="1040" t="s">
        <v>143</v>
      </c>
      <c r="Z60" s="1040" t="s">
        <v>143</v>
      </c>
      <c r="AA60" s="1040" t="s">
        <v>143</v>
      </c>
      <c r="AB60" s="1040" t="s">
        <v>143</v>
      </c>
      <c r="AC60" s="1040" t="s">
        <v>143</v>
      </c>
      <c r="AD60" s="1040" t="s">
        <v>143</v>
      </c>
      <c r="AE60" s="1040">
        <v>16</v>
      </c>
      <c r="AF60" s="1040">
        <v>14486</v>
      </c>
      <c r="AG60" s="1410">
        <v>1011</v>
      </c>
      <c r="AH60" s="1039" t="s">
        <v>143</v>
      </c>
      <c r="AI60" s="1040" t="s">
        <v>143</v>
      </c>
      <c r="AJ60" s="1040" t="s">
        <v>143</v>
      </c>
      <c r="AK60" s="1040">
        <v>3</v>
      </c>
      <c r="AL60" s="1040">
        <v>118</v>
      </c>
      <c r="AM60" s="438">
        <v>32</v>
      </c>
      <c r="AN60" s="1107" t="s">
        <v>143</v>
      </c>
      <c r="AO60" s="1040" t="s">
        <v>143</v>
      </c>
      <c r="AP60" s="1228">
        <v>4</v>
      </c>
      <c r="AQ60" s="1228">
        <v>4</v>
      </c>
      <c r="AR60" s="1040">
        <v>803845</v>
      </c>
      <c r="AS60" s="1229">
        <v>157.69999999999999</v>
      </c>
      <c r="AT60" s="1108">
        <v>1966483</v>
      </c>
      <c r="AU60" s="1107">
        <v>12</v>
      </c>
      <c r="AV60" s="1040">
        <v>1</v>
      </c>
      <c r="AW60" s="1040" t="s">
        <v>143</v>
      </c>
      <c r="AX60" s="1228">
        <v>8</v>
      </c>
      <c r="AY60" s="1040">
        <v>3</v>
      </c>
      <c r="AZ60" s="1040" t="s">
        <v>143</v>
      </c>
      <c r="BA60" s="1040" t="s">
        <v>143</v>
      </c>
      <c r="BB60" s="1040" t="s">
        <v>143</v>
      </c>
      <c r="BC60" s="1040" t="s">
        <v>143</v>
      </c>
      <c r="BD60" s="1040" t="s">
        <v>143</v>
      </c>
      <c r="BE60" s="1108">
        <v>41</v>
      </c>
      <c r="BF60" s="1180"/>
      <c r="BG60" s="1039">
        <v>8</v>
      </c>
      <c r="BH60" s="1040">
        <v>18950</v>
      </c>
      <c r="BI60" s="1040">
        <v>1</v>
      </c>
      <c r="BJ60" s="1228">
        <v>16822</v>
      </c>
      <c r="BK60" s="1040">
        <v>2</v>
      </c>
      <c r="BL60" s="1040">
        <v>4</v>
      </c>
      <c r="BM60" s="1040">
        <v>76185</v>
      </c>
      <c r="BN60" s="1040">
        <v>3</v>
      </c>
      <c r="BO60" s="1040">
        <v>4527</v>
      </c>
      <c r="BP60" s="1040">
        <v>5</v>
      </c>
      <c r="BQ60" s="1108">
        <v>39</v>
      </c>
      <c r="BR60" s="1180"/>
      <c r="BS60" s="1230">
        <v>4</v>
      </c>
      <c r="BT60" s="1231">
        <v>2987</v>
      </c>
      <c r="BU60" s="1225"/>
      <c r="BV60" s="1039" t="s">
        <v>143</v>
      </c>
      <c r="BW60" s="1040" t="s">
        <v>143</v>
      </c>
      <c r="BX60" s="1040" t="s">
        <v>143</v>
      </c>
      <c r="BY60" s="1107">
        <v>114</v>
      </c>
      <c r="BZ60" s="1040">
        <v>5621</v>
      </c>
      <c r="CA60" s="1040">
        <v>5120</v>
      </c>
      <c r="CB60" s="1107">
        <v>10</v>
      </c>
      <c r="CC60" s="1040">
        <v>393</v>
      </c>
      <c r="CD60" s="1034">
        <v>394</v>
      </c>
      <c r="CE60" s="1180"/>
      <c r="CF60" s="1039">
        <v>462</v>
      </c>
      <c r="CG60" s="1040">
        <v>82</v>
      </c>
      <c r="CH60" s="1040">
        <v>18</v>
      </c>
      <c r="CI60" s="1040">
        <v>16</v>
      </c>
      <c r="CJ60" s="1040">
        <v>4</v>
      </c>
      <c r="CK60" s="1228">
        <v>5</v>
      </c>
      <c r="CL60" s="1228">
        <v>2</v>
      </c>
      <c r="CM60" s="1040">
        <v>129</v>
      </c>
      <c r="CN60" s="1228">
        <v>26781</v>
      </c>
      <c r="CO60" s="1228">
        <v>210</v>
      </c>
      <c r="CP60" s="1228">
        <v>395</v>
      </c>
      <c r="CQ60" s="1108">
        <v>331</v>
      </c>
      <c r="CR60" s="1180"/>
      <c r="CS60" s="1039">
        <v>120</v>
      </c>
      <c r="CT60" s="1228">
        <v>20</v>
      </c>
      <c r="CU60" s="1228">
        <v>3</v>
      </c>
      <c r="CV60" s="1228">
        <v>64</v>
      </c>
      <c r="CW60" s="1228">
        <v>14</v>
      </c>
      <c r="CX60" s="1232">
        <v>19</v>
      </c>
      <c r="CY60" s="1232" t="s">
        <v>143</v>
      </c>
      <c r="CZ60" s="1032">
        <v>1579355</v>
      </c>
      <c r="DA60" s="1034">
        <v>33653</v>
      </c>
    </row>
    <row r="61" spans="1:105" s="1078" customFormat="1" ht="15.75" customHeight="1" x14ac:dyDescent="0.2">
      <c r="A61" s="1093" t="s">
        <v>213</v>
      </c>
      <c r="B61" s="1038">
        <v>1</v>
      </c>
      <c r="C61" s="1094">
        <v>24</v>
      </c>
      <c r="D61" s="1094">
        <v>6</v>
      </c>
      <c r="E61" s="1126">
        <v>16</v>
      </c>
      <c r="F61" s="1126">
        <v>4</v>
      </c>
      <c r="G61" s="1126">
        <v>1483</v>
      </c>
      <c r="H61" s="1126">
        <v>909</v>
      </c>
      <c r="I61" s="1089">
        <v>229</v>
      </c>
      <c r="J61" s="1037">
        <v>39</v>
      </c>
      <c r="K61" s="1028">
        <v>15177</v>
      </c>
      <c r="L61" s="1029">
        <v>1141</v>
      </c>
      <c r="M61" s="1028">
        <v>2</v>
      </c>
      <c r="N61" s="1028">
        <v>947</v>
      </c>
      <c r="O61" s="1028">
        <v>111</v>
      </c>
      <c r="P61" s="1029">
        <v>17</v>
      </c>
      <c r="Q61" s="1028">
        <v>5735</v>
      </c>
      <c r="R61" s="1028">
        <v>543</v>
      </c>
      <c r="S61" s="1028">
        <v>9</v>
      </c>
      <c r="T61" s="1028">
        <v>3596</v>
      </c>
      <c r="U61" s="1030">
        <v>347</v>
      </c>
      <c r="V61" s="1094">
        <v>2</v>
      </c>
      <c r="W61" s="1027">
        <v>195</v>
      </c>
      <c r="X61" s="1027">
        <v>46</v>
      </c>
      <c r="Y61" s="1027" t="s">
        <v>143</v>
      </c>
      <c r="Z61" s="1027" t="s">
        <v>143</v>
      </c>
      <c r="AA61" s="1027" t="s">
        <v>143</v>
      </c>
      <c r="AB61" s="1027">
        <v>1</v>
      </c>
      <c r="AC61" s="1027">
        <v>831</v>
      </c>
      <c r="AD61" s="1027">
        <v>72</v>
      </c>
      <c r="AE61" s="1028">
        <v>15</v>
      </c>
      <c r="AF61" s="1028">
        <v>9691</v>
      </c>
      <c r="AG61" s="1030" t="s">
        <v>152</v>
      </c>
      <c r="AH61" s="1037">
        <v>1</v>
      </c>
      <c r="AI61" s="1028">
        <v>24</v>
      </c>
      <c r="AJ61" s="1028">
        <v>8</v>
      </c>
      <c r="AK61" s="1028">
        <v>3</v>
      </c>
      <c r="AL61" s="1028">
        <v>567</v>
      </c>
      <c r="AM61" s="1219" t="s">
        <v>152</v>
      </c>
      <c r="AN61" s="1027" t="s">
        <v>143</v>
      </c>
      <c r="AO61" s="1027" t="s">
        <v>143</v>
      </c>
      <c r="AP61" s="1219">
        <v>1</v>
      </c>
      <c r="AQ61" s="1219">
        <v>7</v>
      </c>
      <c r="AR61" s="1027">
        <v>1105483</v>
      </c>
      <c r="AS61" s="1222">
        <v>339.4</v>
      </c>
      <c r="AT61" s="1276">
        <v>2385146</v>
      </c>
      <c r="AU61" s="1094">
        <v>12</v>
      </c>
      <c r="AV61" s="1027" t="s">
        <v>143</v>
      </c>
      <c r="AW61" s="1027">
        <v>1</v>
      </c>
      <c r="AX61" s="1219">
        <v>5</v>
      </c>
      <c r="AY61" s="1027">
        <v>3</v>
      </c>
      <c r="AZ61" s="1027" t="s">
        <v>143</v>
      </c>
      <c r="BA61" s="1027">
        <v>1</v>
      </c>
      <c r="BB61" s="1027">
        <v>1</v>
      </c>
      <c r="BC61" s="1027" t="s">
        <v>143</v>
      </c>
      <c r="BD61" s="1027">
        <v>1</v>
      </c>
      <c r="BE61" s="1117">
        <v>40</v>
      </c>
      <c r="BF61" s="1180"/>
      <c r="BG61" s="1038">
        <v>3</v>
      </c>
      <c r="BH61" s="1027">
        <v>26943</v>
      </c>
      <c r="BI61" s="1027">
        <v>1</v>
      </c>
      <c r="BJ61" s="1219">
        <v>39935</v>
      </c>
      <c r="BK61" s="1027">
        <v>2</v>
      </c>
      <c r="BL61" s="1027">
        <v>2</v>
      </c>
      <c r="BM61" s="1027">
        <v>47190</v>
      </c>
      <c r="BN61" s="1027">
        <v>4</v>
      </c>
      <c r="BO61" s="1027">
        <v>3509</v>
      </c>
      <c r="BP61" s="1027">
        <v>3</v>
      </c>
      <c r="BQ61" s="1117">
        <v>28</v>
      </c>
      <c r="BR61" s="1180"/>
      <c r="BS61" s="1263">
        <v>4</v>
      </c>
      <c r="BT61" s="1264">
        <v>1085</v>
      </c>
      <c r="BU61" s="1225"/>
      <c r="BV61" s="1038">
        <v>85</v>
      </c>
      <c r="BW61" s="1027">
        <v>4417</v>
      </c>
      <c r="BX61" s="1027">
        <v>3906</v>
      </c>
      <c r="BY61" s="1094">
        <v>4</v>
      </c>
      <c r="BZ61" s="1027">
        <v>199</v>
      </c>
      <c r="CA61" s="1027">
        <v>145</v>
      </c>
      <c r="CB61" s="1094">
        <v>6</v>
      </c>
      <c r="CC61" s="1027">
        <v>141</v>
      </c>
      <c r="CD61" s="1117">
        <v>110</v>
      </c>
      <c r="CE61" s="1180"/>
      <c r="CF61" s="1038">
        <v>366</v>
      </c>
      <c r="CG61" s="1027">
        <v>71</v>
      </c>
      <c r="CH61" s="1027">
        <v>15</v>
      </c>
      <c r="CI61" s="1027">
        <v>14</v>
      </c>
      <c r="CJ61" s="1027">
        <v>4</v>
      </c>
      <c r="CK61" s="1219" t="s">
        <v>143</v>
      </c>
      <c r="CL61" s="1219">
        <v>4</v>
      </c>
      <c r="CM61" s="1027">
        <v>80</v>
      </c>
      <c r="CN61" s="1219">
        <v>18816</v>
      </c>
      <c r="CO61" s="1219">
        <v>109</v>
      </c>
      <c r="CP61" s="1219">
        <v>446</v>
      </c>
      <c r="CQ61" s="1117">
        <v>239</v>
      </c>
      <c r="CR61" s="1180"/>
      <c r="CS61" s="1038">
        <v>186</v>
      </c>
      <c r="CT61" s="1219">
        <v>10</v>
      </c>
      <c r="CU61" s="1219">
        <v>4</v>
      </c>
      <c r="CV61" s="1219">
        <v>146</v>
      </c>
      <c r="CW61" s="1219">
        <v>14</v>
      </c>
      <c r="CX61" s="1226">
        <v>12</v>
      </c>
      <c r="CY61" s="1226">
        <v>0</v>
      </c>
      <c r="CZ61" s="1027">
        <v>1324625</v>
      </c>
      <c r="DA61" s="1117">
        <v>19125</v>
      </c>
    </row>
    <row r="62" spans="1:105" s="1078" customFormat="1" ht="15.75" customHeight="1" x14ac:dyDescent="0.2">
      <c r="A62" s="1106" t="s">
        <v>215</v>
      </c>
      <c r="B62" s="1039" t="s">
        <v>143</v>
      </c>
      <c r="C62" s="1107" t="s">
        <v>143</v>
      </c>
      <c r="D62" s="1107" t="s">
        <v>143</v>
      </c>
      <c r="E62" s="1107">
        <v>12</v>
      </c>
      <c r="F62" s="1119">
        <v>5</v>
      </c>
      <c r="G62" s="1107">
        <v>1807</v>
      </c>
      <c r="H62" s="1119">
        <v>354</v>
      </c>
      <c r="I62" s="1227">
        <v>294</v>
      </c>
      <c r="J62" s="1039">
        <v>46</v>
      </c>
      <c r="K62" s="1040">
        <v>17070</v>
      </c>
      <c r="L62" s="1228">
        <v>1163</v>
      </c>
      <c r="M62" s="1040">
        <v>1</v>
      </c>
      <c r="N62" s="1040">
        <v>420</v>
      </c>
      <c r="O62" s="1040">
        <v>20</v>
      </c>
      <c r="P62" s="1228">
        <v>17</v>
      </c>
      <c r="Q62" s="1040">
        <v>7498</v>
      </c>
      <c r="R62" s="1040">
        <v>547</v>
      </c>
      <c r="S62" s="1040">
        <v>3</v>
      </c>
      <c r="T62" s="1040">
        <v>1118</v>
      </c>
      <c r="U62" s="1108">
        <v>62</v>
      </c>
      <c r="V62" s="1107" t="s">
        <v>143</v>
      </c>
      <c r="W62" s="1040" t="s">
        <v>143</v>
      </c>
      <c r="X62" s="1040" t="s">
        <v>143</v>
      </c>
      <c r="Y62" s="1040" t="s">
        <v>143</v>
      </c>
      <c r="Z62" s="1040" t="s">
        <v>143</v>
      </c>
      <c r="AA62" s="1040" t="s">
        <v>143</v>
      </c>
      <c r="AB62" s="1040">
        <v>2</v>
      </c>
      <c r="AC62" s="1040">
        <v>1417</v>
      </c>
      <c r="AD62" s="1040">
        <v>132</v>
      </c>
      <c r="AE62" s="1040">
        <v>10</v>
      </c>
      <c r="AF62" s="1040">
        <v>6067</v>
      </c>
      <c r="AG62" s="1108">
        <v>550</v>
      </c>
      <c r="AH62" s="1039" t="s">
        <v>143</v>
      </c>
      <c r="AI62" s="1040" t="s">
        <v>143</v>
      </c>
      <c r="AJ62" s="1040" t="s">
        <v>143</v>
      </c>
      <c r="AK62" s="1040">
        <v>2</v>
      </c>
      <c r="AL62" s="1040">
        <v>111</v>
      </c>
      <c r="AM62" s="1228">
        <v>20</v>
      </c>
      <c r="AN62" s="1040" t="s">
        <v>143</v>
      </c>
      <c r="AO62" s="1040" t="s">
        <v>143</v>
      </c>
      <c r="AP62" s="1228">
        <v>3</v>
      </c>
      <c r="AQ62" s="1228">
        <v>6</v>
      </c>
      <c r="AR62" s="1040">
        <v>847012</v>
      </c>
      <c r="AS62" s="1229">
        <v>278</v>
      </c>
      <c r="AT62" s="1108">
        <v>1414135</v>
      </c>
      <c r="AU62" s="1119">
        <v>1</v>
      </c>
      <c r="AV62" s="1040" t="s">
        <v>143</v>
      </c>
      <c r="AW62" s="1040" t="s">
        <v>143</v>
      </c>
      <c r="AX62" s="1228" t="s">
        <v>143</v>
      </c>
      <c r="AY62" s="1040">
        <v>1</v>
      </c>
      <c r="AZ62" s="1040" t="s">
        <v>143</v>
      </c>
      <c r="BA62" s="1040" t="s">
        <v>143</v>
      </c>
      <c r="BB62" s="1040" t="s">
        <v>143</v>
      </c>
      <c r="BC62" s="1040" t="s">
        <v>143</v>
      </c>
      <c r="BD62" s="1040" t="s">
        <v>143</v>
      </c>
      <c r="BE62" s="1108" t="s">
        <v>143</v>
      </c>
      <c r="BF62" s="1180"/>
      <c r="BG62" s="1039">
        <v>13</v>
      </c>
      <c r="BH62" s="1040">
        <v>21966</v>
      </c>
      <c r="BI62" s="1040" t="s">
        <v>143</v>
      </c>
      <c r="BJ62" s="1228" t="s">
        <v>143</v>
      </c>
      <c r="BK62" s="1040">
        <v>3</v>
      </c>
      <c r="BL62" s="1040">
        <v>4</v>
      </c>
      <c r="BM62" s="1040">
        <v>65321</v>
      </c>
      <c r="BN62" s="1040">
        <v>1</v>
      </c>
      <c r="BO62" s="1040">
        <v>395</v>
      </c>
      <c r="BP62" s="1040">
        <v>6</v>
      </c>
      <c r="BQ62" s="1108">
        <v>21</v>
      </c>
      <c r="BR62" s="1180"/>
      <c r="BS62" s="1230">
        <v>9</v>
      </c>
      <c r="BT62" s="1231">
        <v>4224</v>
      </c>
      <c r="BU62" s="1225"/>
      <c r="BV62" s="1039" t="s">
        <v>143</v>
      </c>
      <c r="BW62" s="1040" t="s">
        <v>143</v>
      </c>
      <c r="BX62" s="1040" t="s">
        <v>143</v>
      </c>
      <c r="BY62" s="1107">
        <v>97</v>
      </c>
      <c r="BZ62" s="1040">
        <v>4091</v>
      </c>
      <c r="CA62" s="1040">
        <v>4323</v>
      </c>
      <c r="CB62" s="1107">
        <v>1</v>
      </c>
      <c r="CC62" s="1040">
        <v>15</v>
      </c>
      <c r="CD62" s="1108">
        <v>14</v>
      </c>
      <c r="CE62" s="1180"/>
      <c r="CF62" s="1039">
        <v>302</v>
      </c>
      <c r="CG62" s="1040">
        <v>51</v>
      </c>
      <c r="CH62" s="1040">
        <v>12</v>
      </c>
      <c r="CI62" s="1040">
        <v>12</v>
      </c>
      <c r="CJ62" s="1040">
        <v>3</v>
      </c>
      <c r="CK62" s="1228" t="s">
        <v>143</v>
      </c>
      <c r="CL62" s="1228">
        <v>4</v>
      </c>
      <c r="CM62" s="1040">
        <v>80</v>
      </c>
      <c r="CN62" s="1228">
        <v>14998</v>
      </c>
      <c r="CO62" s="1228">
        <v>155</v>
      </c>
      <c r="CP62" s="1228">
        <v>11</v>
      </c>
      <c r="CQ62" s="1108">
        <v>142</v>
      </c>
      <c r="CR62" s="1180"/>
      <c r="CS62" s="1039">
        <v>419</v>
      </c>
      <c r="CT62" s="1228">
        <v>43</v>
      </c>
      <c r="CU62" s="1228">
        <v>4</v>
      </c>
      <c r="CV62" s="1228">
        <v>323</v>
      </c>
      <c r="CW62" s="1228">
        <v>19</v>
      </c>
      <c r="CX62" s="1232">
        <v>30</v>
      </c>
      <c r="CY62" s="1232" t="s">
        <v>143</v>
      </c>
      <c r="CZ62" s="1040">
        <v>1013444</v>
      </c>
      <c r="DA62" s="1108">
        <v>75807</v>
      </c>
    </row>
    <row r="63" spans="1:105" s="1078" customFormat="1" ht="15.75" customHeight="1" x14ac:dyDescent="0.2">
      <c r="A63" s="1093" t="s">
        <v>216</v>
      </c>
      <c r="B63" s="1098">
        <v>1</v>
      </c>
      <c r="C63" s="1027">
        <v>5</v>
      </c>
      <c r="D63" s="1027">
        <v>3</v>
      </c>
      <c r="E63" s="1027">
        <v>32</v>
      </c>
      <c r="F63" s="1027">
        <v>10</v>
      </c>
      <c r="G63" s="1027">
        <v>2482</v>
      </c>
      <c r="H63" s="1027">
        <v>1951</v>
      </c>
      <c r="I63" s="1117">
        <v>282</v>
      </c>
      <c r="J63" s="1038">
        <v>68</v>
      </c>
      <c r="K63" s="1027">
        <v>18741</v>
      </c>
      <c r="L63" s="1219">
        <v>1306</v>
      </c>
      <c r="M63" s="1027">
        <v>5</v>
      </c>
      <c r="N63" s="1027">
        <v>1167</v>
      </c>
      <c r="O63" s="1027">
        <v>82</v>
      </c>
      <c r="P63" s="1219">
        <v>39</v>
      </c>
      <c r="Q63" s="1219">
        <v>8489</v>
      </c>
      <c r="R63" s="1219">
        <v>757</v>
      </c>
      <c r="S63" s="1219">
        <v>12</v>
      </c>
      <c r="T63" s="1219">
        <v>1633</v>
      </c>
      <c r="U63" s="1117">
        <v>126</v>
      </c>
      <c r="V63" s="1094" t="s">
        <v>143</v>
      </c>
      <c r="W63" s="1027" t="s">
        <v>143</v>
      </c>
      <c r="X63" s="1027" t="s">
        <v>143</v>
      </c>
      <c r="Y63" s="1027" t="s">
        <v>143</v>
      </c>
      <c r="Z63" s="1027" t="s">
        <v>143</v>
      </c>
      <c r="AA63" s="1027" t="s">
        <v>143</v>
      </c>
      <c r="AB63" s="1027">
        <v>1</v>
      </c>
      <c r="AC63" s="1027">
        <v>712</v>
      </c>
      <c r="AD63" s="1219">
        <v>93</v>
      </c>
      <c r="AE63" s="1027">
        <v>18</v>
      </c>
      <c r="AF63" s="1027">
        <v>10335</v>
      </c>
      <c r="AG63" s="1175">
        <v>951</v>
      </c>
      <c r="AH63" s="1038" t="s">
        <v>143</v>
      </c>
      <c r="AI63" s="1027" t="s">
        <v>143</v>
      </c>
      <c r="AJ63" s="1219" t="s">
        <v>143</v>
      </c>
      <c r="AK63" s="1219">
        <v>3</v>
      </c>
      <c r="AL63" s="1219">
        <v>1524</v>
      </c>
      <c r="AM63" s="1219">
        <v>124</v>
      </c>
      <c r="AN63" s="1219" t="s">
        <v>143</v>
      </c>
      <c r="AO63" s="1027" t="s">
        <v>143</v>
      </c>
      <c r="AP63" s="1027">
        <v>3</v>
      </c>
      <c r="AQ63" s="1219">
        <v>2</v>
      </c>
      <c r="AR63" s="1027">
        <v>1292163</v>
      </c>
      <c r="AS63" s="1222">
        <v>312.2</v>
      </c>
      <c r="AT63" s="1277">
        <v>1934732</v>
      </c>
      <c r="AU63" s="1094">
        <v>28</v>
      </c>
      <c r="AV63" s="1027">
        <v>1</v>
      </c>
      <c r="AW63" s="1027" t="s">
        <v>143</v>
      </c>
      <c r="AX63" s="1219">
        <v>21</v>
      </c>
      <c r="AY63" s="1027">
        <v>5</v>
      </c>
      <c r="AZ63" s="1027" t="s">
        <v>143</v>
      </c>
      <c r="BA63" s="1027" t="s">
        <v>143</v>
      </c>
      <c r="BB63" s="1027" t="s">
        <v>143</v>
      </c>
      <c r="BC63" s="1027" t="s">
        <v>143</v>
      </c>
      <c r="BD63" s="1027">
        <v>1</v>
      </c>
      <c r="BE63" s="1117">
        <v>23</v>
      </c>
      <c r="BF63" s="1180"/>
      <c r="BG63" s="1038">
        <v>8</v>
      </c>
      <c r="BH63" s="1027">
        <v>21857</v>
      </c>
      <c r="BI63" s="1027">
        <v>3</v>
      </c>
      <c r="BJ63" s="1219">
        <v>102477</v>
      </c>
      <c r="BK63" s="1027">
        <v>1</v>
      </c>
      <c r="BL63" s="1027">
        <v>1</v>
      </c>
      <c r="BM63" s="1027">
        <v>22000</v>
      </c>
      <c r="BN63" s="1027">
        <v>5</v>
      </c>
      <c r="BO63" s="1027">
        <v>5172</v>
      </c>
      <c r="BP63" s="1027">
        <v>11</v>
      </c>
      <c r="BQ63" s="1117">
        <v>54</v>
      </c>
      <c r="BR63" s="1180"/>
      <c r="BS63" s="1223">
        <v>2</v>
      </c>
      <c r="BT63" s="1224">
        <v>2979</v>
      </c>
      <c r="BU63" s="1278"/>
      <c r="BV63" s="1038" t="s">
        <v>143</v>
      </c>
      <c r="BW63" s="1027" t="s">
        <v>143</v>
      </c>
      <c r="BX63" s="1027" t="s">
        <v>143</v>
      </c>
      <c r="BY63" s="1094" t="s">
        <v>143</v>
      </c>
      <c r="BZ63" s="1027" t="s">
        <v>143</v>
      </c>
      <c r="CA63" s="1027" t="s">
        <v>143</v>
      </c>
      <c r="CB63" s="1094">
        <v>96</v>
      </c>
      <c r="CC63" s="1027">
        <v>6525</v>
      </c>
      <c r="CD63" s="1117">
        <v>6097</v>
      </c>
      <c r="CE63" s="1180"/>
      <c r="CF63" s="1098">
        <v>498</v>
      </c>
      <c r="CG63" s="1027">
        <v>72</v>
      </c>
      <c r="CH63" s="1027">
        <v>18</v>
      </c>
      <c r="CI63" s="1027">
        <v>17</v>
      </c>
      <c r="CJ63" s="1027">
        <v>3</v>
      </c>
      <c r="CK63" s="1027" t="s">
        <v>143</v>
      </c>
      <c r="CL63" s="1174">
        <v>18</v>
      </c>
      <c r="CM63" s="1027">
        <v>75</v>
      </c>
      <c r="CN63" s="1219">
        <v>23078</v>
      </c>
      <c r="CO63" s="1219">
        <v>189</v>
      </c>
      <c r="CP63" s="1219">
        <v>151</v>
      </c>
      <c r="CQ63" s="1117">
        <v>265</v>
      </c>
      <c r="CR63" s="1180"/>
      <c r="CS63" s="1098">
        <v>202</v>
      </c>
      <c r="CT63" s="1027">
        <v>15</v>
      </c>
      <c r="CU63" s="1027">
        <v>2</v>
      </c>
      <c r="CV63" s="1027">
        <v>117</v>
      </c>
      <c r="CW63" s="1027">
        <v>50</v>
      </c>
      <c r="CX63" s="1174">
        <v>18</v>
      </c>
      <c r="CY63" s="1174">
        <v>0</v>
      </c>
      <c r="CZ63" s="1027">
        <v>1835326.68</v>
      </c>
      <c r="DA63" s="1117">
        <v>112512.7</v>
      </c>
    </row>
    <row r="64" spans="1:105" s="1078" customFormat="1" ht="15.75" customHeight="1" x14ac:dyDescent="0.2">
      <c r="A64" s="1106" t="s">
        <v>217</v>
      </c>
      <c r="B64" s="1161">
        <v>2</v>
      </c>
      <c r="C64" s="1040">
        <v>37</v>
      </c>
      <c r="D64" s="1040">
        <v>10</v>
      </c>
      <c r="E64" s="1040">
        <v>26</v>
      </c>
      <c r="F64" s="1040">
        <v>23</v>
      </c>
      <c r="G64" s="1040">
        <v>2939</v>
      </c>
      <c r="H64" s="1040">
        <v>1664</v>
      </c>
      <c r="I64" s="1108">
        <v>378</v>
      </c>
      <c r="J64" s="1039">
        <v>44</v>
      </c>
      <c r="K64" s="1040">
        <v>13496</v>
      </c>
      <c r="L64" s="1228">
        <v>923</v>
      </c>
      <c r="M64" s="1228">
        <v>1</v>
      </c>
      <c r="N64" s="1040">
        <v>39</v>
      </c>
      <c r="O64" s="1040" t="s">
        <v>143</v>
      </c>
      <c r="P64" s="1228">
        <v>24</v>
      </c>
      <c r="Q64" s="1228">
        <v>6164</v>
      </c>
      <c r="R64" s="1040">
        <v>509</v>
      </c>
      <c r="S64" s="1040">
        <v>3</v>
      </c>
      <c r="T64" s="1040">
        <v>547</v>
      </c>
      <c r="U64" s="1108">
        <v>64</v>
      </c>
      <c r="V64" s="1107">
        <v>2</v>
      </c>
      <c r="W64" s="1040">
        <v>58</v>
      </c>
      <c r="X64" s="1107">
        <v>29</v>
      </c>
      <c r="Y64" s="1040">
        <v>0</v>
      </c>
      <c r="Z64" s="1040">
        <v>0</v>
      </c>
      <c r="AA64" s="1107">
        <v>0</v>
      </c>
      <c r="AB64" s="1040">
        <v>0</v>
      </c>
      <c r="AC64" s="1040">
        <v>0</v>
      </c>
      <c r="AD64" s="1179">
        <v>0</v>
      </c>
      <c r="AE64" s="1040">
        <v>13</v>
      </c>
      <c r="AF64" s="1040">
        <v>6213</v>
      </c>
      <c r="AG64" s="1108">
        <v>622</v>
      </c>
      <c r="AH64" s="1039">
        <v>0</v>
      </c>
      <c r="AI64" s="1040">
        <v>0</v>
      </c>
      <c r="AJ64" s="1040">
        <v>0</v>
      </c>
      <c r="AK64" s="1040">
        <v>3</v>
      </c>
      <c r="AL64" s="1040">
        <v>844</v>
      </c>
      <c r="AM64" s="1228">
        <v>105</v>
      </c>
      <c r="AN64" s="1040">
        <v>0</v>
      </c>
      <c r="AO64" s="1040">
        <v>0</v>
      </c>
      <c r="AP64" s="1040">
        <v>2</v>
      </c>
      <c r="AQ64" s="1228">
        <v>1</v>
      </c>
      <c r="AR64" s="1040">
        <v>593137</v>
      </c>
      <c r="AS64" s="1112">
        <v>243</v>
      </c>
      <c r="AT64" s="1108">
        <v>1030064</v>
      </c>
      <c r="AU64" s="1119" t="s">
        <v>143</v>
      </c>
      <c r="AV64" s="1032" t="s">
        <v>143</v>
      </c>
      <c r="AW64" s="1032" t="s">
        <v>143</v>
      </c>
      <c r="AX64" s="1032">
        <v>4</v>
      </c>
      <c r="AY64" s="1032" t="s">
        <v>143</v>
      </c>
      <c r="AZ64" s="1032" t="s">
        <v>143</v>
      </c>
      <c r="BA64" s="1032" t="s">
        <v>143</v>
      </c>
      <c r="BB64" s="1032" t="s">
        <v>143</v>
      </c>
      <c r="BC64" s="1032" t="s">
        <v>143</v>
      </c>
      <c r="BD64" s="1032" t="s">
        <v>143</v>
      </c>
      <c r="BE64" s="1034">
        <v>28</v>
      </c>
      <c r="BF64" s="1180"/>
      <c r="BG64" s="1161">
        <v>7</v>
      </c>
      <c r="BH64" s="1040">
        <v>34568</v>
      </c>
      <c r="BI64" s="1040">
        <v>2</v>
      </c>
      <c r="BJ64" s="1040">
        <v>51441</v>
      </c>
      <c r="BK64" s="1040">
        <v>5</v>
      </c>
      <c r="BL64" s="1040">
        <v>5</v>
      </c>
      <c r="BM64" s="1040">
        <v>63683</v>
      </c>
      <c r="BN64" s="1040">
        <v>3</v>
      </c>
      <c r="BO64" s="1040">
        <v>3935</v>
      </c>
      <c r="BP64" s="1040">
        <v>7</v>
      </c>
      <c r="BQ64" s="1227">
        <v>36</v>
      </c>
      <c r="BR64" s="1180"/>
      <c r="BS64" s="1279">
        <v>4</v>
      </c>
      <c r="BT64" s="1280">
        <v>2000</v>
      </c>
      <c r="BU64" s="1225"/>
      <c r="BV64" s="1035" t="s">
        <v>143</v>
      </c>
      <c r="BW64" s="1032" t="s">
        <v>143</v>
      </c>
      <c r="BX64" s="1032" t="s">
        <v>143</v>
      </c>
      <c r="BY64" s="1032">
        <v>73</v>
      </c>
      <c r="BZ64" s="1032">
        <v>2990</v>
      </c>
      <c r="CA64" s="1032">
        <v>2757</v>
      </c>
      <c r="CB64" s="1032" t="s">
        <v>143</v>
      </c>
      <c r="CC64" s="1032" t="s">
        <v>143</v>
      </c>
      <c r="CD64" s="1265" t="s">
        <v>143</v>
      </c>
      <c r="CE64" s="1180"/>
      <c r="CF64" s="1161">
        <v>375</v>
      </c>
      <c r="CG64" s="1040">
        <v>61</v>
      </c>
      <c r="CH64" s="1040">
        <v>20</v>
      </c>
      <c r="CI64" s="1040">
        <v>18</v>
      </c>
      <c r="CJ64" s="1040">
        <v>3</v>
      </c>
      <c r="CK64" s="1032" t="s">
        <v>143</v>
      </c>
      <c r="CL64" s="1040">
        <v>13</v>
      </c>
      <c r="CM64" s="1040">
        <v>104</v>
      </c>
      <c r="CN64" s="1228">
        <v>16597</v>
      </c>
      <c r="CO64" s="1228">
        <v>93</v>
      </c>
      <c r="CP64" s="1228">
        <v>125</v>
      </c>
      <c r="CQ64" s="1108">
        <v>144</v>
      </c>
      <c r="CR64" s="1180"/>
      <c r="CS64" s="1161">
        <v>63</v>
      </c>
      <c r="CT64" s="1040">
        <v>23</v>
      </c>
      <c r="CU64" s="1040">
        <v>10</v>
      </c>
      <c r="CV64" s="1040">
        <v>7</v>
      </c>
      <c r="CW64" s="1040">
        <v>2</v>
      </c>
      <c r="CX64" s="1040">
        <v>21</v>
      </c>
      <c r="CY64" s="1040">
        <v>0</v>
      </c>
      <c r="CZ64" s="1040">
        <v>1199035</v>
      </c>
      <c r="DA64" s="1108">
        <v>101963</v>
      </c>
    </row>
    <row r="65" spans="1:105" s="1078" customFormat="1" ht="15.75" customHeight="1" x14ac:dyDescent="0.2">
      <c r="A65" s="1093" t="s">
        <v>219</v>
      </c>
      <c r="B65" s="1098">
        <v>22</v>
      </c>
      <c r="C65" s="1027">
        <v>398</v>
      </c>
      <c r="D65" s="1027">
        <v>82</v>
      </c>
      <c r="E65" s="1027">
        <v>24</v>
      </c>
      <c r="F65" s="1027">
        <v>4</v>
      </c>
      <c r="G65" s="1027" t="s">
        <v>152</v>
      </c>
      <c r="H65" s="1027">
        <v>473</v>
      </c>
      <c r="I65" s="1117" t="s">
        <v>152</v>
      </c>
      <c r="J65" s="1038">
        <v>55</v>
      </c>
      <c r="K65" s="1027">
        <v>25628</v>
      </c>
      <c r="L65" s="1219">
        <v>1680</v>
      </c>
      <c r="M65" s="1027">
        <v>1</v>
      </c>
      <c r="N65" s="1027">
        <v>617</v>
      </c>
      <c r="O65" s="1027">
        <v>26</v>
      </c>
      <c r="P65" s="1219">
        <v>28</v>
      </c>
      <c r="Q65" s="1219">
        <v>11867</v>
      </c>
      <c r="R65" s="1219">
        <v>906</v>
      </c>
      <c r="S65" s="1219">
        <v>5</v>
      </c>
      <c r="T65" s="1219">
        <v>1340</v>
      </c>
      <c r="U65" s="1117">
        <v>128</v>
      </c>
      <c r="V65" s="1094">
        <v>1</v>
      </c>
      <c r="W65" s="1027">
        <v>1045</v>
      </c>
      <c r="X65" s="1027">
        <v>77</v>
      </c>
      <c r="Y65" s="1027" t="s">
        <v>143</v>
      </c>
      <c r="Z65" s="1027" t="s">
        <v>143</v>
      </c>
      <c r="AA65" s="1027" t="s">
        <v>143</v>
      </c>
      <c r="AB65" s="1027" t="s">
        <v>143</v>
      </c>
      <c r="AC65" s="1027" t="s">
        <v>143</v>
      </c>
      <c r="AD65" s="1219" t="s">
        <v>143</v>
      </c>
      <c r="AE65" s="1027">
        <v>18</v>
      </c>
      <c r="AF65" s="1027">
        <v>13753</v>
      </c>
      <c r="AG65" s="1175">
        <v>1354</v>
      </c>
      <c r="AH65" s="1038" t="s">
        <v>143</v>
      </c>
      <c r="AI65" s="1027" t="s">
        <v>143</v>
      </c>
      <c r="AJ65" s="1219" t="s">
        <v>143</v>
      </c>
      <c r="AK65" s="1219">
        <v>2</v>
      </c>
      <c r="AL65" s="1219">
        <v>564</v>
      </c>
      <c r="AM65" s="1219">
        <v>97</v>
      </c>
      <c r="AN65" s="1219" t="s">
        <v>143</v>
      </c>
      <c r="AO65" s="1027" t="s">
        <v>143</v>
      </c>
      <c r="AP65" s="1027">
        <v>5</v>
      </c>
      <c r="AQ65" s="1219">
        <v>2</v>
      </c>
      <c r="AR65" s="1027">
        <v>807698</v>
      </c>
      <c r="AS65" s="1222">
        <v>293.2</v>
      </c>
      <c r="AT65" s="1277">
        <v>1399886</v>
      </c>
      <c r="AU65" s="1094">
        <v>13</v>
      </c>
      <c r="AV65" s="1027" t="s">
        <v>143</v>
      </c>
      <c r="AW65" s="1027">
        <v>1</v>
      </c>
      <c r="AX65" s="1219">
        <v>7</v>
      </c>
      <c r="AY65" s="1027">
        <v>3</v>
      </c>
      <c r="AZ65" s="1027" t="s">
        <v>143</v>
      </c>
      <c r="BA65" s="1027">
        <v>1</v>
      </c>
      <c r="BB65" s="1027" t="s">
        <v>143</v>
      </c>
      <c r="BC65" s="1027" t="s">
        <v>143</v>
      </c>
      <c r="BD65" s="1027">
        <v>1</v>
      </c>
      <c r="BE65" s="1117">
        <v>13</v>
      </c>
      <c r="BF65" s="1180"/>
      <c r="BG65" s="1038">
        <v>5</v>
      </c>
      <c r="BH65" s="1027">
        <v>18129</v>
      </c>
      <c r="BI65" s="1027">
        <v>1</v>
      </c>
      <c r="BJ65" s="1219">
        <v>29905</v>
      </c>
      <c r="BK65" s="1027">
        <v>6</v>
      </c>
      <c r="BL65" s="1027">
        <v>9</v>
      </c>
      <c r="BM65" s="1027">
        <v>74217</v>
      </c>
      <c r="BN65" s="1027">
        <v>3</v>
      </c>
      <c r="BO65" s="1027">
        <v>2365</v>
      </c>
      <c r="BP65" s="1027">
        <v>9</v>
      </c>
      <c r="BQ65" s="1117">
        <v>41</v>
      </c>
      <c r="BR65" s="1180"/>
      <c r="BS65" s="1223">
        <v>1</v>
      </c>
      <c r="BT65" s="1224">
        <v>1201</v>
      </c>
      <c r="BU65" s="1278"/>
      <c r="BV65" s="1038" t="s">
        <v>143</v>
      </c>
      <c r="BW65" s="1027" t="s">
        <v>143</v>
      </c>
      <c r="BX65" s="1027" t="s">
        <v>143</v>
      </c>
      <c r="BY65" s="1094">
        <v>54</v>
      </c>
      <c r="BZ65" s="1027">
        <v>5609</v>
      </c>
      <c r="CA65" s="1027">
        <v>4524</v>
      </c>
      <c r="CB65" s="1094">
        <v>14</v>
      </c>
      <c r="CC65" s="1027">
        <v>740</v>
      </c>
      <c r="CD65" s="1117">
        <v>564</v>
      </c>
      <c r="CE65" s="1180"/>
      <c r="CF65" s="1098">
        <v>469</v>
      </c>
      <c r="CG65" s="1027">
        <v>78</v>
      </c>
      <c r="CH65" s="1027">
        <v>16</v>
      </c>
      <c r="CI65" s="1027">
        <v>16</v>
      </c>
      <c r="CJ65" s="1027">
        <v>3</v>
      </c>
      <c r="CK65" s="1027">
        <v>2</v>
      </c>
      <c r="CL65" s="1174">
        <v>9</v>
      </c>
      <c r="CM65" s="1027">
        <v>100</v>
      </c>
      <c r="CN65" s="1219">
        <v>19680</v>
      </c>
      <c r="CO65" s="1219">
        <v>185</v>
      </c>
      <c r="CP65" s="1219">
        <v>116</v>
      </c>
      <c r="CQ65" s="1117">
        <v>124</v>
      </c>
      <c r="CR65" s="1180"/>
      <c r="CS65" s="1098">
        <v>16</v>
      </c>
      <c r="CT65" s="1027">
        <v>4</v>
      </c>
      <c r="CU65" s="1027" t="s">
        <v>143</v>
      </c>
      <c r="CV65" s="1027">
        <v>1</v>
      </c>
      <c r="CW65" s="1027">
        <v>8</v>
      </c>
      <c r="CX65" s="1174">
        <v>3</v>
      </c>
      <c r="CY65" s="1174" t="s">
        <v>143</v>
      </c>
      <c r="CZ65" s="1027">
        <v>1325283</v>
      </c>
      <c r="DA65" s="1117">
        <v>26438</v>
      </c>
    </row>
    <row r="66" spans="1:105" s="1078" customFormat="1" ht="15.75" customHeight="1" x14ac:dyDescent="0.2">
      <c r="A66" s="1106" t="s">
        <v>220</v>
      </c>
      <c r="B66" s="1161">
        <v>2</v>
      </c>
      <c r="C66" s="1040">
        <v>38</v>
      </c>
      <c r="D66" s="1040">
        <v>9</v>
      </c>
      <c r="E66" s="1040">
        <v>17</v>
      </c>
      <c r="F66" s="1040">
        <v>13</v>
      </c>
      <c r="G66" s="1040">
        <v>3318</v>
      </c>
      <c r="H66" s="1040">
        <v>2136</v>
      </c>
      <c r="I66" s="1034" t="s">
        <v>152</v>
      </c>
      <c r="J66" s="1355">
        <v>47</v>
      </c>
      <c r="K66" s="1356">
        <v>22504</v>
      </c>
      <c r="L66" s="1407">
        <v>1471</v>
      </c>
      <c r="M66" s="1408">
        <v>1</v>
      </c>
      <c r="N66" s="1408">
        <v>602</v>
      </c>
      <c r="O66" s="1408">
        <v>32</v>
      </c>
      <c r="P66" s="1407">
        <v>25</v>
      </c>
      <c r="Q66" s="1407">
        <v>9646</v>
      </c>
      <c r="R66" s="1408">
        <v>839</v>
      </c>
      <c r="S66" s="1408">
        <v>8</v>
      </c>
      <c r="T66" s="1408">
        <v>2324</v>
      </c>
      <c r="U66" s="1409">
        <v>168</v>
      </c>
      <c r="V66" s="1357" t="s">
        <v>143</v>
      </c>
      <c r="W66" s="1356" t="s">
        <v>143</v>
      </c>
      <c r="X66" s="1357" t="s">
        <v>143</v>
      </c>
      <c r="Y66" s="1356" t="s">
        <v>143</v>
      </c>
      <c r="Z66" s="1356" t="s">
        <v>143</v>
      </c>
      <c r="AA66" s="1357" t="s">
        <v>143</v>
      </c>
      <c r="AB66" s="1356" t="s">
        <v>143</v>
      </c>
      <c r="AC66" s="1356" t="s">
        <v>143</v>
      </c>
      <c r="AD66" s="1358" t="s">
        <v>143</v>
      </c>
      <c r="AE66" s="1356">
        <v>15</v>
      </c>
      <c r="AF66" s="1408">
        <v>13167</v>
      </c>
      <c r="AG66" s="1409">
        <v>1227</v>
      </c>
      <c r="AH66" s="1411" t="s">
        <v>143</v>
      </c>
      <c r="AI66" s="438" t="s">
        <v>143</v>
      </c>
      <c r="AJ66" s="438" t="s">
        <v>143</v>
      </c>
      <c r="AK66" s="438">
        <v>2</v>
      </c>
      <c r="AL66" s="438">
        <v>296</v>
      </c>
      <c r="AM66" s="467">
        <v>89</v>
      </c>
      <c r="AN66" s="1040" t="s">
        <v>143</v>
      </c>
      <c r="AO66" s="1040">
        <v>1</v>
      </c>
      <c r="AP66" s="1040">
        <v>5</v>
      </c>
      <c r="AQ66" s="1228">
        <v>2</v>
      </c>
      <c r="AR66" s="1040">
        <v>807803</v>
      </c>
      <c r="AS66" s="1123">
        <v>201.3</v>
      </c>
      <c r="AT66" s="1108">
        <v>822797</v>
      </c>
      <c r="AU66" s="1107">
        <v>12</v>
      </c>
      <c r="AV66" s="1040">
        <v>1</v>
      </c>
      <c r="AW66" s="1040">
        <v>1</v>
      </c>
      <c r="AX66" s="1040">
        <v>4</v>
      </c>
      <c r="AY66" s="1040">
        <v>2</v>
      </c>
      <c r="AZ66" s="1040" t="s">
        <v>143</v>
      </c>
      <c r="BA66" s="1040">
        <v>1</v>
      </c>
      <c r="BB66" s="1040">
        <v>2</v>
      </c>
      <c r="BC66" s="1040">
        <v>1</v>
      </c>
      <c r="BD66" s="1040" t="s">
        <v>143</v>
      </c>
      <c r="BE66" s="1108">
        <v>15</v>
      </c>
      <c r="BF66" s="1180"/>
      <c r="BG66" s="1161">
        <v>19</v>
      </c>
      <c r="BH66" s="1040">
        <v>38733</v>
      </c>
      <c r="BI66" s="1040">
        <v>2</v>
      </c>
      <c r="BJ66" s="1040">
        <v>64590</v>
      </c>
      <c r="BK66" s="1040">
        <v>6</v>
      </c>
      <c r="BL66" s="1040">
        <v>8</v>
      </c>
      <c r="BM66" s="1040">
        <v>169830</v>
      </c>
      <c r="BN66" s="1040">
        <v>2</v>
      </c>
      <c r="BO66" s="1040">
        <v>800</v>
      </c>
      <c r="BP66" s="1040">
        <v>12</v>
      </c>
      <c r="BQ66" s="1227">
        <v>64</v>
      </c>
      <c r="BR66" s="1180"/>
      <c r="BS66" s="1279">
        <v>4</v>
      </c>
      <c r="BT66" s="1280">
        <v>1867</v>
      </c>
      <c r="BU66" s="1225"/>
      <c r="BV66" s="1161" t="s">
        <v>143</v>
      </c>
      <c r="BW66" s="1040" t="s">
        <v>143</v>
      </c>
      <c r="BX66" s="1040" t="s">
        <v>143</v>
      </c>
      <c r="BY66" s="1040">
        <v>50</v>
      </c>
      <c r="BZ66" s="1040">
        <v>3822</v>
      </c>
      <c r="CA66" s="1040">
        <v>4305</v>
      </c>
      <c r="CB66" s="1040">
        <v>4</v>
      </c>
      <c r="CC66" s="1040">
        <v>104</v>
      </c>
      <c r="CD66" s="1227">
        <v>106</v>
      </c>
      <c r="CE66" s="1180"/>
      <c r="CF66" s="1161">
        <v>341</v>
      </c>
      <c r="CG66" s="1040">
        <v>71</v>
      </c>
      <c r="CH66" s="1040">
        <v>13</v>
      </c>
      <c r="CI66" s="1040">
        <v>13</v>
      </c>
      <c r="CJ66" s="1040">
        <v>2</v>
      </c>
      <c r="CK66" s="1040">
        <v>1</v>
      </c>
      <c r="CL66" s="1040">
        <v>6</v>
      </c>
      <c r="CM66" s="1040">
        <v>129</v>
      </c>
      <c r="CN66" s="1228">
        <v>17802</v>
      </c>
      <c r="CO66" s="1228">
        <v>67</v>
      </c>
      <c r="CP66" s="1228">
        <v>463</v>
      </c>
      <c r="CQ66" s="1108">
        <v>230</v>
      </c>
      <c r="CR66" s="1180"/>
      <c r="CS66" s="1161">
        <v>215</v>
      </c>
      <c r="CT66" s="1040">
        <v>40</v>
      </c>
      <c r="CU66" s="1040">
        <v>9</v>
      </c>
      <c r="CV66" s="1040">
        <v>72</v>
      </c>
      <c r="CW66" s="1040">
        <v>12</v>
      </c>
      <c r="CX66" s="1040">
        <v>37</v>
      </c>
      <c r="CY66" s="1040">
        <v>45</v>
      </c>
      <c r="CZ66" s="1040">
        <v>1305060</v>
      </c>
      <c r="DA66" s="1108">
        <v>15275</v>
      </c>
    </row>
    <row r="67" spans="1:105" s="1078" customFormat="1" ht="15.75" customHeight="1" x14ac:dyDescent="0.2">
      <c r="A67" s="1093" t="s">
        <v>221</v>
      </c>
      <c r="B67" s="1098">
        <v>4</v>
      </c>
      <c r="C67" s="1027">
        <v>104</v>
      </c>
      <c r="D67" s="1027">
        <v>16</v>
      </c>
      <c r="E67" s="1027">
        <v>20</v>
      </c>
      <c r="F67" s="1174">
        <v>6</v>
      </c>
      <c r="G67" s="1027">
        <v>2799</v>
      </c>
      <c r="H67" s="1027">
        <v>579</v>
      </c>
      <c r="I67" s="1117">
        <v>235</v>
      </c>
      <c r="J67" s="1038">
        <v>79</v>
      </c>
      <c r="K67" s="1027">
        <v>33170</v>
      </c>
      <c r="L67" s="1219">
        <v>2090</v>
      </c>
      <c r="M67" s="1219">
        <v>3</v>
      </c>
      <c r="N67" s="1027">
        <v>1200</v>
      </c>
      <c r="O67" s="1027">
        <v>65</v>
      </c>
      <c r="P67" s="1219">
        <v>39</v>
      </c>
      <c r="Q67" s="1027">
        <v>15684</v>
      </c>
      <c r="R67" s="1219">
        <v>1152</v>
      </c>
      <c r="S67" s="1027">
        <v>6</v>
      </c>
      <c r="T67" s="1027">
        <v>1854</v>
      </c>
      <c r="U67" s="1117">
        <v>135</v>
      </c>
      <c r="V67" s="1094" t="s">
        <v>143</v>
      </c>
      <c r="W67" s="1027" t="s">
        <v>143</v>
      </c>
      <c r="X67" s="1094" t="s">
        <v>143</v>
      </c>
      <c r="Y67" s="1027" t="s">
        <v>143</v>
      </c>
      <c r="Z67" s="1027" t="s">
        <v>143</v>
      </c>
      <c r="AA67" s="1094" t="s">
        <v>143</v>
      </c>
      <c r="AB67" s="1027">
        <v>3</v>
      </c>
      <c r="AC67" s="1027">
        <v>2151</v>
      </c>
      <c r="AD67" s="1174">
        <v>182</v>
      </c>
      <c r="AE67" s="1027">
        <v>20</v>
      </c>
      <c r="AF67" s="1027">
        <v>15457</v>
      </c>
      <c r="AG67" s="1117">
        <v>1163</v>
      </c>
      <c r="AH67" s="1038" t="s">
        <v>143</v>
      </c>
      <c r="AI67" s="1027" t="s">
        <v>143</v>
      </c>
      <c r="AJ67" s="1027" t="s">
        <v>143</v>
      </c>
      <c r="AK67" s="1027">
        <v>3</v>
      </c>
      <c r="AL67" s="1027">
        <v>1849</v>
      </c>
      <c r="AM67" s="1219">
        <v>62</v>
      </c>
      <c r="AN67" s="1027" t="s">
        <v>143</v>
      </c>
      <c r="AO67" s="1027" t="s">
        <v>143</v>
      </c>
      <c r="AP67" s="1027" t="s">
        <v>143</v>
      </c>
      <c r="AQ67" s="1219">
        <v>1</v>
      </c>
      <c r="AR67" s="1027">
        <v>958638</v>
      </c>
      <c r="AS67" s="1091">
        <v>162</v>
      </c>
      <c r="AT67" s="1117">
        <v>1961273</v>
      </c>
      <c r="AU67" s="1094">
        <v>6</v>
      </c>
      <c r="AV67" s="1027" t="s">
        <v>143</v>
      </c>
      <c r="AW67" s="1027">
        <v>1</v>
      </c>
      <c r="AX67" s="1027">
        <v>2</v>
      </c>
      <c r="AY67" s="1027">
        <v>1</v>
      </c>
      <c r="AZ67" s="1094" t="s">
        <v>143</v>
      </c>
      <c r="BA67" s="1027">
        <v>1</v>
      </c>
      <c r="BB67" s="1027" t="s">
        <v>143</v>
      </c>
      <c r="BC67" s="1027" t="s">
        <v>143</v>
      </c>
      <c r="BD67" s="1027">
        <v>1</v>
      </c>
      <c r="BE67" s="1117">
        <v>14</v>
      </c>
      <c r="BF67" s="1180"/>
      <c r="BG67" s="1098">
        <v>11</v>
      </c>
      <c r="BH67" s="1027">
        <v>40120</v>
      </c>
      <c r="BI67" s="1027">
        <v>1</v>
      </c>
      <c r="BJ67" s="1027">
        <v>27950</v>
      </c>
      <c r="BK67" s="1027">
        <v>1</v>
      </c>
      <c r="BL67" s="1027">
        <v>1</v>
      </c>
      <c r="BM67" s="1027">
        <v>15975</v>
      </c>
      <c r="BN67" s="1027">
        <v>5</v>
      </c>
      <c r="BO67" s="1027">
        <v>4210</v>
      </c>
      <c r="BP67" s="1027">
        <v>32</v>
      </c>
      <c r="BQ67" s="1175">
        <v>102</v>
      </c>
      <c r="BR67" s="1180"/>
      <c r="BS67" s="1281">
        <v>2</v>
      </c>
      <c r="BT67" s="1271">
        <v>1990</v>
      </c>
      <c r="BU67" s="1225"/>
      <c r="BV67" s="1098" t="s">
        <v>143</v>
      </c>
      <c r="BW67" s="1027" t="s">
        <v>143</v>
      </c>
      <c r="BX67" s="1027" t="s">
        <v>143</v>
      </c>
      <c r="BY67" s="1027">
        <v>168</v>
      </c>
      <c r="BZ67" s="1027">
        <v>8395</v>
      </c>
      <c r="CA67" s="1027">
        <v>6919</v>
      </c>
      <c r="CB67" s="1027">
        <v>27</v>
      </c>
      <c r="CC67" s="1027">
        <v>1047</v>
      </c>
      <c r="CD67" s="1175">
        <v>937</v>
      </c>
      <c r="CE67" s="1180"/>
      <c r="CF67" s="1098">
        <v>508</v>
      </c>
      <c r="CG67" s="1027">
        <v>104</v>
      </c>
      <c r="CH67" s="1027">
        <v>21</v>
      </c>
      <c r="CI67" s="1027">
        <v>21</v>
      </c>
      <c r="CJ67" s="1027">
        <v>3</v>
      </c>
      <c r="CK67" s="1027" t="s">
        <v>143</v>
      </c>
      <c r="CL67" s="1027">
        <v>18</v>
      </c>
      <c r="CM67" s="1027">
        <v>148</v>
      </c>
      <c r="CN67" s="1219">
        <v>32092</v>
      </c>
      <c r="CO67" s="1219">
        <v>125</v>
      </c>
      <c r="CP67" s="1219">
        <v>790</v>
      </c>
      <c r="CQ67" s="1117">
        <v>228</v>
      </c>
      <c r="CR67" s="1180"/>
      <c r="CS67" s="1098">
        <v>203</v>
      </c>
      <c r="CT67" s="1027">
        <v>32</v>
      </c>
      <c r="CU67" s="1027">
        <v>3</v>
      </c>
      <c r="CV67" s="1027">
        <v>85</v>
      </c>
      <c r="CW67" s="1027">
        <v>16</v>
      </c>
      <c r="CX67" s="1027">
        <v>67</v>
      </c>
      <c r="CY67" s="1027">
        <v>0</v>
      </c>
      <c r="CZ67" s="1027">
        <v>2240795</v>
      </c>
      <c r="DA67" s="1117">
        <v>27528</v>
      </c>
    </row>
    <row r="68" spans="1:105" s="1078" customFormat="1" ht="15.75" customHeight="1" thickBot="1" x14ac:dyDescent="0.25">
      <c r="A68" s="1106" t="s">
        <v>223</v>
      </c>
      <c r="B68" s="1039">
        <v>0</v>
      </c>
      <c r="C68" s="1040">
        <v>0</v>
      </c>
      <c r="D68" s="1040">
        <v>0</v>
      </c>
      <c r="E68" s="1040">
        <v>6</v>
      </c>
      <c r="F68" s="1040">
        <v>4</v>
      </c>
      <c r="G68" s="1040">
        <v>679</v>
      </c>
      <c r="H68" s="1040">
        <v>258</v>
      </c>
      <c r="I68" s="1108">
        <v>80</v>
      </c>
      <c r="J68" s="1039">
        <v>36</v>
      </c>
      <c r="K68" s="1040">
        <v>19641</v>
      </c>
      <c r="L68" s="1228">
        <v>1281</v>
      </c>
      <c r="M68" s="1040" t="s">
        <v>143</v>
      </c>
      <c r="N68" s="1040" t="s">
        <v>143</v>
      </c>
      <c r="O68" s="1040" t="s">
        <v>143</v>
      </c>
      <c r="P68" s="1228">
        <v>18</v>
      </c>
      <c r="Q68" s="1040">
        <v>8693</v>
      </c>
      <c r="R68" s="1040">
        <v>687</v>
      </c>
      <c r="S68" s="1040">
        <v>2</v>
      </c>
      <c r="T68" s="1040">
        <v>1292</v>
      </c>
      <c r="U68" s="1108">
        <v>81</v>
      </c>
      <c r="V68" s="1107" t="s">
        <v>143</v>
      </c>
      <c r="W68" s="1040" t="s">
        <v>143</v>
      </c>
      <c r="X68" s="1040" t="s">
        <v>143</v>
      </c>
      <c r="Y68" s="1040" t="s">
        <v>143</v>
      </c>
      <c r="Z68" s="1040" t="s">
        <v>143</v>
      </c>
      <c r="AA68" s="1040" t="s">
        <v>143</v>
      </c>
      <c r="AB68" s="1040" t="s">
        <v>143</v>
      </c>
      <c r="AC68" s="1040" t="s">
        <v>143</v>
      </c>
      <c r="AD68" s="1228" t="s">
        <v>143</v>
      </c>
      <c r="AE68" s="1040">
        <v>11</v>
      </c>
      <c r="AF68" s="1040">
        <v>10890</v>
      </c>
      <c r="AG68" s="1108">
        <v>929</v>
      </c>
      <c r="AH68" s="1039" t="s">
        <v>143</v>
      </c>
      <c r="AI68" s="1040" t="s">
        <v>143</v>
      </c>
      <c r="AJ68" s="1040" t="s">
        <v>143</v>
      </c>
      <c r="AK68" s="1040">
        <v>1</v>
      </c>
      <c r="AL68" s="1040">
        <v>500</v>
      </c>
      <c r="AM68" s="1228">
        <v>80</v>
      </c>
      <c r="AN68" s="1040">
        <v>0</v>
      </c>
      <c r="AO68" s="1040">
        <v>0</v>
      </c>
      <c r="AP68" s="1228">
        <v>0</v>
      </c>
      <c r="AQ68" s="1228">
        <v>7</v>
      </c>
      <c r="AR68" s="1040">
        <v>664406</v>
      </c>
      <c r="AS68" s="1112">
        <v>206.86213155739901</v>
      </c>
      <c r="AT68" s="1108">
        <v>972684</v>
      </c>
      <c r="AU68" s="1107">
        <v>4</v>
      </c>
      <c r="AV68" s="1040">
        <v>1</v>
      </c>
      <c r="AW68" s="1040">
        <v>0</v>
      </c>
      <c r="AX68" s="1228">
        <v>3</v>
      </c>
      <c r="AY68" s="1040">
        <v>0</v>
      </c>
      <c r="AZ68" s="1040">
        <v>0</v>
      </c>
      <c r="BA68" s="1040">
        <v>0</v>
      </c>
      <c r="BB68" s="1040">
        <v>0</v>
      </c>
      <c r="BC68" s="1040">
        <v>0</v>
      </c>
      <c r="BD68" s="1040">
        <v>0</v>
      </c>
      <c r="BE68" s="1108">
        <v>7</v>
      </c>
      <c r="BF68" s="1180"/>
      <c r="BG68" s="1039">
        <v>1</v>
      </c>
      <c r="BH68" s="1040">
        <v>10114</v>
      </c>
      <c r="BI68" s="1040" t="s">
        <v>143</v>
      </c>
      <c r="BJ68" s="1228" t="s">
        <v>143</v>
      </c>
      <c r="BK68" s="1040">
        <v>1</v>
      </c>
      <c r="BL68" s="1040">
        <v>1</v>
      </c>
      <c r="BM68" s="1040">
        <v>50395</v>
      </c>
      <c r="BN68" s="1040">
        <v>1</v>
      </c>
      <c r="BO68" s="1040">
        <v>288</v>
      </c>
      <c r="BP68" s="1040">
        <v>7</v>
      </c>
      <c r="BQ68" s="1108">
        <v>23</v>
      </c>
      <c r="BR68" s="1180"/>
      <c r="BS68" s="1279">
        <v>1</v>
      </c>
      <c r="BT68" s="1280">
        <v>1668</v>
      </c>
      <c r="BU68" s="1225"/>
      <c r="BV68" s="1039">
        <v>0</v>
      </c>
      <c r="BW68" s="1040">
        <v>0</v>
      </c>
      <c r="BX68" s="1040">
        <v>0</v>
      </c>
      <c r="BY68" s="1040">
        <v>0</v>
      </c>
      <c r="BZ68" s="1040">
        <v>0</v>
      </c>
      <c r="CA68" s="1040">
        <v>0</v>
      </c>
      <c r="CB68" s="1040">
        <v>98</v>
      </c>
      <c r="CC68" s="1040">
        <v>4892</v>
      </c>
      <c r="CD68" s="1108">
        <v>4892</v>
      </c>
      <c r="CE68" s="1180"/>
      <c r="CF68" s="1039">
        <v>287</v>
      </c>
      <c r="CG68" s="1040">
        <v>64</v>
      </c>
      <c r="CH68" s="1040">
        <v>10</v>
      </c>
      <c r="CI68" s="1040">
        <v>10</v>
      </c>
      <c r="CJ68" s="1040">
        <v>2</v>
      </c>
      <c r="CK68" s="1228">
        <v>1</v>
      </c>
      <c r="CL68" s="1228">
        <v>4</v>
      </c>
      <c r="CM68" s="1040">
        <v>84</v>
      </c>
      <c r="CN68" s="1228">
        <v>20785</v>
      </c>
      <c r="CO68" s="1228">
        <v>108</v>
      </c>
      <c r="CP68" s="1228">
        <v>91</v>
      </c>
      <c r="CQ68" s="1108">
        <v>83</v>
      </c>
      <c r="CR68" s="1180"/>
      <c r="CS68" s="1039">
        <v>70</v>
      </c>
      <c r="CT68" s="1228">
        <v>6</v>
      </c>
      <c r="CU68" s="1228">
        <v>1</v>
      </c>
      <c r="CV68" s="1228">
        <v>24</v>
      </c>
      <c r="CW68" s="1228">
        <v>16</v>
      </c>
      <c r="CX68" s="1228">
        <v>23</v>
      </c>
      <c r="CY68" s="1228">
        <v>0</v>
      </c>
      <c r="CZ68" s="1040">
        <v>1119792.95</v>
      </c>
      <c r="DA68" s="1108">
        <v>26497.23</v>
      </c>
    </row>
    <row r="69" spans="1:105" s="823" customFormat="1" ht="18" customHeight="1" thickTop="1" x14ac:dyDescent="0.2">
      <c r="A69" s="761" t="s">
        <v>224</v>
      </c>
      <c r="B69" s="812">
        <f>SUM(B7:B68)</f>
        <v>453</v>
      </c>
      <c r="C69" s="813">
        <f t="shared" ref="C69:U69" si="0">SUM(C7:C68)</f>
        <v>20788</v>
      </c>
      <c r="D69" s="813">
        <f t="shared" si="0"/>
        <v>2560</v>
      </c>
      <c r="E69" s="813">
        <f t="shared" si="0"/>
        <v>1112</v>
      </c>
      <c r="F69" s="813">
        <f t="shared" si="0"/>
        <v>424</v>
      </c>
      <c r="G69" s="813">
        <f t="shared" si="0"/>
        <v>164874</v>
      </c>
      <c r="H69" s="813">
        <f t="shared" si="0"/>
        <v>54141</v>
      </c>
      <c r="I69" s="814">
        <f t="shared" si="0"/>
        <v>15333</v>
      </c>
      <c r="J69" s="812">
        <f t="shared" si="0"/>
        <v>2925</v>
      </c>
      <c r="K69" s="813">
        <f t="shared" si="0"/>
        <v>1138532</v>
      </c>
      <c r="L69" s="813">
        <f t="shared" si="0"/>
        <v>75159</v>
      </c>
      <c r="M69" s="813">
        <f t="shared" si="0"/>
        <v>71</v>
      </c>
      <c r="N69" s="813">
        <f t="shared" si="0"/>
        <v>26248</v>
      </c>
      <c r="O69" s="813">
        <f t="shared" si="0"/>
        <v>1851</v>
      </c>
      <c r="P69" s="813">
        <f t="shared" si="0"/>
        <v>1403</v>
      </c>
      <c r="Q69" s="813">
        <f t="shared" si="0"/>
        <v>542805</v>
      </c>
      <c r="R69" s="813">
        <f t="shared" si="0"/>
        <v>41641</v>
      </c>
      <c r="S69" s="813">
        <f t="shared" si="0"/>
        <v>201</v>
      </c>
      <c r="T69" s="813">
        <f t="shared" si="0"/>
        <v>53827</v>
      </c>
      <c r="U69" s="815">
        <f t="shared" si="0"/>
        <v>4662</v>
      </c>
      <c r="V69" s="816">
        <f>SUM(V7:V68)</f>
        <v>23</v>
      </c>
      <c r="W69" s="813">
        <f t="shared" ref="W69:AG69" si="1">SUM(W7:W68)</f>
        <v>9826</v>
      </c>
      <c r="X69" s="813">
        <f t="shared" si="1"/>
        <v>948</v>
      </c>
      <c r="Y69" s="813">
        <f t="shared" si="1"/>
        <v>3</v>
      </c>
      <c r="Z69" s="813">
        <f t="shared" si="1"/>
        <v>2514</v>
      </c>
      <c r="AA69" s="813">
        <f t="shared" si="1"/>
        <v>144</v>
      </c>
      <c r="AB69" s="813">
        <f t="shared" si="1"/>
        <v>39</v>
      </c>
      <c r="AC69" s="813">
        <f t="shared" si="1"/>
        <v>29389</v>
      </c>
      <c r="AD69" s="813">
        <f t="shared" si="1"/>
        <v>2558</v>
      </c>
      <c r="AE69" s="813">
        <f t="shared" si="1"/>
        <v>757</v>
      </c>
      <c r="AF69" s="813">
        <f t="shared" si="1"/>
        <v>539188</v>
      </c>
      <c r="AG69" s="814">
        <f t="shared" si="1"/>
        <v>38911</v>
      </c>
      <c r="AH69" s="812">
        <f>SUM(AH7:AH68)</f>
        <v>13</v>
      </c>
      <c r="AI69" s="813">
        <f t="shared" ref="AI69:AT69" si="2">SUM(AI7:AI68)</f>
        <v>2010</v>
      </c>
      <c r="AJ69" s="813">
        <f t="shared" si="2"/>
        <v>352</v>
      </c>
      <c r="AK69" s="813">
        <f t="shared" si="2"/>
        <v>128</v>
      </c>
      <c r="AL69" s="813">
        <f t="shared" si="2"/>
        <v>30583</v>
      </c>
      <c r="AM69" s="813">
        <f t="shared" si="2"/>
        <v>3002</v>
      </c>
      <c r="AN69" s="813">
        <f t="shared" si="2"/>
        <v>2</v>
      </c>
      <c r="AO69" s="813">
        <f t="shared" si="2"/>
        <v>9</v>
      </c>
      <c r="AP69" s="813">
        <f t="shared" si="2"/>
        <v>216</v>
      </c>
      <c r="AQ69" s="813">
        <f t="shared" si="2"/>
        <v>337</v>
      </c>
      <c r="AR69" s="813">
        <f t="shared" si="2"/>
        <v>60986787</v>
      </c>
      <c r="AS69" s="817">
        <f t="shared" si="2"/>
        <v>17111.286715276594</v>
      </c>
      <c r="AT69" s="815">
        <f t="shared" si="2"/>
        <v>110499543</v>
      </c>
      <c r="AU69" s="816">
        <f>SUM(AU7:AU68)</f>
        <v>576</v>
      </c>
      <c r="AV69" s="813">
        <f t="shared" ref="AV69:BE69" si="3">SUM(AV7:AV68)</f>
        <v>34</v>
      </c>
      <c r="AW69" s="813">
        <f t="shared" si="3"/>
        <v>44</v>
      </c>
      <c r="AX69" s="813">
        <f t="shared" si="3"/>
        <v>335</v>
      </c>
      <c r="AY69" s="813">
        <f t="shared" si="3"/>
        <v>127</v>
      </c>
      <c r="AZ69" s="813">
        <f t="shared" si="3"/>
        <v>5</v>
      </c>
      <c r="BA69" s="813">
        <f t="shared" si="3"/>
        <v>14</v>
      </c>
      <c r="BB69" s="813">
        <f t="shared" si="3"/>
        <v>14</v>
      </c>
      <c r="BC69" s="813">
        <f t="shared" si="3"/>
        <v>5</v>
      </c>
      <c r="BD69" s="813">
        <f t="shared" si="3"/>
        <v>9</v>
      </c>
      <c r="BE69" s="814">
        <f t="shared" si="3"/>
        <v>1614</v>
      </c>
      <c r="BF69" s="818"/>
      <c r="BG69" s="812">
        <f t="shared" ref="BG69:BQ69" si="4">SUM(BG7:BG68)</f>
        <v>476</v>
      </c>
      <c r="BH69" s="813">
        <f t="shared" si="4"/>
        <v>1632379.6599999997</v>
      </c>
      <c r="BI69" s="813">
        <f t="shared" si="4"/>
        <v>65</v>
      </c>
      <c r="BJ69" s="813">
        <f t="shared" si="4"/>
        <v>1792005.09</v>
      </c>
      <c r="BK69" s="813">
        <f t="shared" si="4"/>
        <v>265</v>
      </c>
      <c r="BL69" s="813">
        <f t="shared" si="4"/>
        <v>359</v>
      </c>
      <c r="BM69" s="813">
        <f t="shared" si="4"/>
        <v>5068136.8800000008</v>
      </c>
      <c r="BN69" s="813">
        <f t="shared" si="4"/>
        <v>226</v>
      </c>
      <c r="BO69" s="813">
        <f t="shared" si="4"/>
        <v>216363.82699999999</v>
      </c>
      <c r="BP69" s="813">
        <f t="shared" si="4"/>
        <v>447</v>
      </c>
      <c r="BQ69" s="815">
        <f t="shared" si="4"/>
        <v>2143</v>
      </c>
      <c r="BR69" s="818"/>
      <c r="BS69" s="819">
        <f>SUM(BS7:BS68)</f>
        <v>256</v>
      </c>
      <c r="BT69" s="820">
        <f>SUM(BT7:BT68)</f>
        <v>131443</v>
      </c>
      <c r="BU69" s="821"/>
      <c r="BV69" s="812">
        <f>SUM(BV7:BV68)</f>
        <v>1378</v>
      </c>
      <c r="BW69" s="813">
        <f t="shared" ref="BW69:CM69" si="5">SUM(BW7:BW68)</f>
        <v>70942</v>
      </c>
      <c r="BX69" s="813">
        <f t="shared" si="5"/>
        <v>79123</v>
      </c>
      <c r="BY69" s="813">
        <f t="shared" si="5"/>
        <v>2535</v>
      </c>
      <c r="BZ69" s="813">
        <f t="shared" si="5"/>
        <v>142013</v>
      </c>
      <c r="CA69" s="813">
        <f t="shared" si="5"/>
        <v>126684</v>
      </c>
      <c r="CB69" s="813">
        <f t="shared" si="5"/>
        <v>1005</v>
      </c>
      <c r="CC69" s="813">
        <f t="shared" si="5"/>
        <v>45372</v>
      </c>
      <c r="CD69" s="814">
        <f t="shared" si="5"/>
        <v>41502</v>
      </c>
      <c r="CE69" s="818"/>
      <c r="CF69" s="812">
        <f t="shared" si="5"/>
        <v>24946</v>
      </c>
      <c r="CG69" s="813">
        <f t="shared" si="5"/>
        <v>3990</v>
      </c>
      <c r="CH69" s="813">
        <f t="shared" si="5"/>
        <v>923</v>
      </c>
      <c r="CI69" s="813">
        <f t="shared" si="5"/>
        <v>885</v>
      </c>
      <c r="CJ69" s="813">
        <f t="shared" si="5"/>
        <v>213</v>
      </c>
      <c r="CK69" s="813">
        <f t="shared" si="5"/>
        <v>191</v>
      </c>
      <c r="CL69" s="813">
        <f t="shared" si="5"/>
        <v>339</v>
      </c>
      <c r="CM69" s="813">
        <f t="shared" si="5"/>
        <v>5946</v>
      </c>
      <c r="CN69" s="822">
        <f>SUM(CN7:CN68)</f>
        <v>1162326</v>
      </c>
      <c r="CO69" s="822">
        <f>SUM(CO7:CO68)</f>
        <v>13906</v>
      </c>
      <c r="CP69" s="822">
        <f>SUM(CP7:CP68)</f>
        <v>13557</v>
      </c>
      <c r="CQ69" s="814">
        <f>SUM(CQ7:CQ68)</f>
        <v>9756</v>
      </c>
      <c r="CR69" s="818"/>
      <c r="CS69" s="812">
        <f>SUM(CS7:CS68)</f>
        <v>10667</v>
      </c>
      <c r="CT69" s="813">
        <f t="shared" ref="CT69:DA69" si="6">SUM(CT7:CT68)</f>
        <v>1567</v>
      </c>
      <c r="CU69" s="813">
        <f t="shared" si="6"/>
        <v>330</v>
      </c>
      <c r="CV69" s="813">
        <f t="shared" si="6"/>
        <v>5589</v>
      </c>
      <c r="CW69" s="813">
        <f t="shared" si="6"/>
        <v>1454</v>
      </c>
      <c r="CX69" s="813">
        <f>SUM(CX7:CX68)</f>
        <v>1583</v>
      </c>
      <c r="CY69" s="813">
        <f t="shared" si="6"/>
        <v>295</v>
      </c>
      <c r="CZ69" s="813">
        <f t="shared" si="6"/>
        <v>72952910.379999995</v>
      </c>
      <c r="DA69" s="814">
        <f t="shared" si="6"/>
        <v>2384567.02</v>
      </c>
    </row>
    <row r="70" spans="1:105" ht="18" customHeight="1" thickBot="1" x14ac:dyDescent="0.25">
      <c r="A70" s="766" t="s">
        <v>225</v>
      </c>
      <c r="B70" s="767">
        <f>AVERAGE(B7:B68)</f>
        <v>10.066666666666666</v>
      </c>
      <c r="C70" s="545">
        <f t="shared" ref="C70:AO70" si="7">AVERAGE(C7:C68)</f>
        <v>472.45454545454544</v>
      </c>
      <c r="D70" s="545">
        <f t="shared" si="7"/>
        <v>58.18181818181818</v>
      </c>
      <c r="E70" s="545">
        <f t="shared" si="7"/>
        <v>17.93548387096774</v>
      </c>
      <c r="F70" s="545" t="s">
        <v>139</v>
      </c>
      <c r="G70" s="545">
        <f t="shared" si="7"/>
        <v>2747.9</v>
      </c>
      <c r="H70" s="545" t="s">
        <v>139</v>
      </c>
      <c r="I70" s="546">
        <f t="shared" si="7"/>
        <v>264.36206896551727</v>
      </c>
      <c r="J70" s="548">
        <f t="shared" si="7"/>
        <v>47.177419354838712</v>
      </c>
      <c r="K70" s="545">
        <f t="shared" si="7"/>
        <v>18664.459016393441</v>
      </c>
      <c r="L70" s="545">
        <f t="shared" si="7"/>
        <v>1232.1147540983607</v>
      </c>
      <c r="M70" s="545">
        <f t="shared" si="7"/>
        <v>1.6511627906976745</v>
      </c>
      <c r="N70" s="545">
        <f t="shared" si="7"/>
        <v>624.95238095238096</v>
      </c>
      <c r="O70" s="545">
        <f t="shared" si="7"/>
        <v>45.146341463414636</v>
      </c>
      <c r="P70" s="545">
        <f t="shared" si="7"/>
        <v>22.629032258064516</v>
      </c>
      <c r="Q70" s="545">
        <f t="shared" si="7"/>
        <v>8898.442622950819</v>
      </c>
      <c r="R70" s="545">
        <f t="shared" si="7"/>
        <v>682.63934426229503</v>
      </c>
      <c r="S70" s="545">
        <f t="shared" si="7"/>
        <v>3.5263157894736841</v>
      </c>
      <c r="T70" s="545">
        <f t="shared" si="7"/>
        <v>1015.6037735849056</v>
      </c>
      <c r="U70" s="546">
        <f t="shared" si="7"/>
        <v>87.962264150943398</v>
      </c>
      <c r="V70" s="767">
        <f t="shared" si="7"/>
        <v>1.5333333333333334</v>
      </c>
      <c r="W70" s="545">
        <f t="shared" si="7"/>
        <v>655.06666666666672</v>
      </c>
      <c r="X70" s="545">
        <f t="shared" si="7"/>
        <v>63.2</v>
      </c>
      <c r="Y70" s="545">
        <f t="shared" si="7"/>
        <v>0.5</v>
      </c>
      <c r="Z70" s="545">
        <f t="shared" si="7"/>
        <v>419</v>
      </c>
      <c r="AA70" s="545">
        <f t="shared" si="7"/>
        <v>24</v>
      </c>
      <c r="AB70" s="545">
        <f t="shared" si="7"/>
        <v>1.1470588235294117</v>
      </c>
      <c r="AC70" s="545">
        <f t="shared" si="7"/>
        <v>890.57575757575762</v>
      </c>
      <c r="AD70" s="545">
        <f t="shared" si="7"/>
        <v>77.515151515151516</v>
      </c>
      <c r="AE70" s="545">
        <f t="shared" si="7"/>
        <v>12.409836065573771</v>
      </c>
      <c r="AF70" s="545">
        <f t="shared" si="7"/>
        <v>9296.3448275862065</v>
      </c>
      <c r="AG70" s="546" t="s">
        <v>139</v>
      </c>
      <c r="AH70" s="824">
        <f t="shared" si="7"/>
        <v>0.9285714285714286</v>
      </c>
      <c r="AI70" s="545">
        <f t="shared" si="7"/>
        <v>143.57142857142858</v>
      </c>
      <c r="AJ70" s="545">
        <f t="shared" si="7"/>
        <v>25.142857142857142</v>
      </c>
      <c r="AK70" s="545">
        <f t="shared" si="7"/>
        <v>2.4150943396226414</v>
      </c>
      <c r="AL70" s="545">
        <f t="shared" si="7"/>
        <v>588.13461538461536</v>
      </c>
      <c r="AM70" s="545" t="s">
        <v>139</v>
      </c>
      <c r="AN70" s="545">
        <f t="shared" si="7"/>
        <v>0.2857142857142857</v>
      </c>
      <c r="AO70" s="545">
        <f t="shared" si="7"/>
        <v>0.6428571428571429</v>
      </c>
      <c r="AP70" s="545">
        <f>AVERAGE(AP7:AP68)</f>
        <v>3.7241379310344827</v>
      </c>
      <c r="AQ70" s="545">
        <f>AVERAGE(AQ7:AQ68)</f>
        <v>5.435483870967742</v>
      </c>
      <c r="AR70" s="545">
        <f>AVERAGE(AR7:AR68)</f>
        <v>983657.8548387097</v>
      </c>
      <c r="AS70" s="549">
        <f>AVERAGE(AS7:AS68)</f>
        <v>275.98849540768703</v>
      </c>
      <c r="AT70" s="825">
        <f>AVERAGE(AT7:AT68)</f>
        <v>1782250.6935483871</v>
      </c>
      <c r="AU70" s="767">
        <f t="shared" ref="AU70:BE70" si="8">AVERAGE(AU7:AU68)</f>
        <v>10.105263157894736</v>
      </c>
      <c r="AV70" s="545">
        <f t="shared" si="8"/>
        <v>1.36</v>
      </c>
      <c r="AW70" s="545">
        <f t="shared" si="8"/>
        <v>1.2941176470588236</v>
      </c>
      <c r="AX70" s="545">
        <f t="shared" si="8"/>
        <v>6.2037037037037033</v>
      </c>
      <c r="AY70" s="545">
        <f t="shared" si="8"/>
        <v>2.5918367346938775</v>
      </c>
      <c r="AZ70" s="545">
        <f t="shared" si="8"/>
        <v>0.5</v>
      </c>
      <c r="BA70" s="545">
        <f t="shared" si="8"/>
        <v>0.77777777777777779</v>
      </c>
      <c r="BB70" s="545">
        <f t="shared" si="8"/>
        <v>0.77777777777777779</v>
      </c>
      <c r="BC70" s="545">
        <f t="shared" si="8"/>
        <v>0.5</v>
      </c>
      <c r="BD70" s="545">
        <f t="shared" si="8"/>
        <v>0.6</v>
      </c>
      <c r="BE70" s="546">
        <f t="shared" si="8"/>
        <v>30.452830188679247</v>
      </c>
      <c r="BF70" s="402"/>
      <c r="BG70" s="548">
        <f t="shared" ref="BG70:BT70" si="9">AVERAGE(BG7:BG68)</f>
        <v>7.67741935483871</v>
      </c>
      <c r="BH70" s="545">
        <f t="shared" si="9"/>
        <v>26328.704193548383</v>
      </c>
      <c r="BI70" s="545">
        <f t="shared" si="9"/>
        <v>1.3</v>
      </c>
      <c r="BJ70" s="545" t="s">
        <v>139</v>
      </c>
      <c r="BK70" s="545">
        <f t="shared" si="9"/>
        <v>4.416666666666667</v>
      </c>
      <c r="BL70" s="545">
        <f t="shared" si="9"/>
        <v>5.9833333333333334</v>
      </c>
      <c r="BM70" s="545" t="s">
        <v>139</v>
      </c>
      <c r="BN70" s="545">
        <f t="shared" si="9"/>
        <v>3.8305084745762712</v>
      </c>
      <c r="BO70" s="545">
        <f t="shared" si="9"/>
        <v>3667.1835084745762</v>
      </c>
      <c r="BP70" s="545">
        <f t="shared" si="9"/>
        <v>7.3278688524590168</v>
      </c>
      <c r="BQ70" s="825">
        <f t="shared" si="9"/>
        <v>35.131147540983605</v>
      </c>
      <c r="BR70" s="402"/>
      <c r="BS70" s="548">
        <f t="shared" si="9"/>
        <v>4.129032258064516</v>
      </c>
      <c r="BT70" s="546">
        <f t="shared" si="9"/>
        <v>2190.7166666666667</v>
      </c>
      <c r="BU70" s="806"/>
      <c r="BV70" s="548" t="s">
        <v>139</v>
      </c>
      <c r="BW70" s="545" t="s">
        <v>139</v>
      </c>
      <c r="BX70" s="545" t="s">
        <v>139</v>
      </c>
      <c r="BY70" s="545">
        <f>AVERAGE(BY7:BY68)</f>
        <v>53.936170212765958</v>
      </c>
      <c r="BZ70" s="545">
        <f>AVERAGE(BZ7:BZ68)</f>
        <v>3021.5531914893618</v>
      </c>
      <c r="CA70" s="545">
        <f>AVERAGE(CA7:CA68)</f>
        <v>2695.4042553191489</v>
      </c>
      <c r="CB70" s="545" t="s">
        <v>139</v>
      </c>
      <c r="CC70" s="545" t="s">
        <v>139</v>
      </c>
      <c r="CD70" s="825" t="s">
        <v>139</v>
      </c>
      <c r="CE70" s="402"/>
      <c r="CF70" s="547">
        <f t="shared" ref="CF70:CM70" si="10">AVERAGE(CF7:CF68)</f>
        <v>402.35483870967744</v>
      </c>
      <c r="CG70" s="545">
        <f t="shared" si="10"/>
        <v>64.354838709677423</v>
      </c>
      <c r="CH70" s="545">
        <f t="shared" si="10"/>
        <v>14.887096774193548</v>
      </c>
      <c r="CI70" s="545">
        <f t="shared" si="10"/>
        <v>14.274193548387096</v>
      </c>
      <c r="CJ70" s="545">
        <f t="shared" si="10"/>
        <v>3.435483870967742</v>
      </c>
      <c r="CK70" s="545">
        <f t="shared" si="10"/>
        <v>3.8979591836734695</v>
      </c>
      <c r="CL70" s="545">
        <f t="shared" si="10"/>
        <v>6.3962264150943398</v>
      </c>
      <c r="CM70" s="545">
        <f t="shared" si="10"/>
        <v>95.903225806451616</v>
      </c>
      <c r="CN70" s="826">
        <f>AVERAGE(CN7:CN68)</f>
        <v>19054.524590163935</v>
      </c>
      <c r="CO70" s="826">
        <f>AVERAGE(CO7:CO68)</f>
        <v>224.29032258064515</v>
      </c>
      <c r="CP70" s="826">
        <f>AVERAGE(CP7:CP68)</f>
        <v>218.66129032258064</v>
      </c>
      <c r="CQ70" s="546">
        <f>AVERAGE(CQ7:CQ68)</f>
        <v>157.35483870967741</v>
      </c>
      <c r="CR70" s="402"/>
      <c r="CS70" s="548">
        <f>AVERAGE(CS7:CS68)</f>
        <v>172.04838709677421</v>
      </c>
      <c r="CT70" s="545">
        <f t="shared" ref="CT70:DA70" si="11">AVERAGE(CT7:CT68)</f>
        <v>25.274193548387096</v>
      </c>
      <c r="CU70" s="545">
        <f t="shared" si="11"/>
        <v>6</v>
      </c>
      <c r="CV70" s="545">
        <f t="shared" si="11"/>
        <v>90.145161290322577</v>
      </c>
      <c r="CW70" s="545">
        <f t="shared" si="11"/>
        <v>23.451612903225808</v>
      </c>
      <c r="CX70" s="545">
        <f>AVERAGE(CX7:CX68)</f>
        <v>25.532258064516128</v>
      </c>
      <c r="CY70" s="545">
        <f t="shared" si="11"/>
        <v>9.21875</v>
      </c>
      <c r="CZ70" s="545">
        <f t="shared" si="11"/>
        <v>1176659.8448387096</v>
      </c>
      <c r="DA70" s="546">
        <f t="shared" si="11"/>
        <v>38460.758387096772</v>
      </c>
    </row>
    <row r="71" spans="1:105" s="327" customFormat="1" ht="13.95" customHeight="1" thickTop="1" x14ac:dyDescent="0.2">
      <c r="A71" s="287" t="s">
        <v>255</v>
      </c>
      <c r="B71" s="284" t="s">
        <v>583</v>
      </c>
      <c r="C71" s="283"/>
      <c r="D71" s="283"/>
      <c r="E71" s="283"/>
      <c r="F71" s="283"/>
      <c r="G71" s="283"/>
      <c r="H71" s="283"/>
      <c r="I71" s="283"/>
      <c r="J71" s="283"/>
      <c r="K71" s="283"/>
      <c r="L71" s="283"/>
      <c r="AN71" s="284" t="s">
        <v>584</v>
      </c>
      <c r="AR71" s="284" t="s">
        <v>585</v>
      </c>
      <c r="AU71" s="284" t="s">
        <v>586</v>
      </c>
      <c r="AY71" s="284"/>
      <c r="AZ71" s="284"/>
      <c r="BA71" s="284"/>
      <c r="BB71" s="284"/>
      <c r="BC71" s="284"/>
      <c r="BD71" s="284"/>
      <c r="BE71" s="284"/>
      <c r="BF71" s="284"/>
      <c r="BG71" s="284" t="s">
        <v>587</v>
      </c>
      <c r="BK71" s="283"/>
      <c r="BL71" s="283"/>
      <c r="BM71" s="283"/>
      <c r="BN71" s="283"/>
      <c r="BO71" s="283"/>
      <c r="BP71" s="283"/>
      <c r="BQ71" s="283"/>
      <c r="BR71" s="283"/>
      <c r="BS71" s="284" t="s">
        <v>588</v>
      </c>
      <c r="BT71" s="283"/>
      <c r="BV71" s="284" t="s">
        <v>589</v>
      </c>
      <c r="CF71" s="1725" t="s">
        <v>590</v>
      </c>
      <c r="CG71" s="1725"/>
      <c r="CH71" s="1725"/>
      <c r="CI71" s="1725"/>
      <c r="CJ71" s="1725"/>
      <c r="CS71" s="284" t="s">
        <v>591</v>
      </c>
    </row>
    <row r="72" spans="1:105" s="327" customFormat="1" ht="13.95" customHeight="1" x14ac:dyDescent="0.2">
      <c r="A72" s="284"/>
      <c r="B72" s="284" t="s">
        <v>592</v>
      </c>
      <c r="C72" s="283"/>
      <c r="D72" s="283"/>
      <c r="E72" s="283"/>
      <c r="F72" s="283"/>
      <c r="G72" s="283"/>
      <c r="H72" s="283"/>
      <c r="I72" s="283"/>
      <c r="J72" s="283"/>
      <c r="K72" s="283"/>
      <c r="L72" s="283"/>
      <c r="M72" s="284"/>
      <c r="N72" s="284"/>
      <c r="O72" s="278"/>
      <c r="P72" s="278"/>
      <c r="Q72" s="278"/>
      <c r="R72" s="278"/>
      <c r="S72" s="278"/>
      <c r="T72" s="278"/>
      <c r="U72" s="278"/>
      <c r="V72" s="278"/>
      <c r="W72" s="284"/>
      <c r="X72" s="284"/>
      <c r="Y72" s="278"/>
      <c r="Z72" s="284"/>
      <c r="AA72" s="284"/>
      <c r="AC72" s="284"/>
      <c r="AD72" s="284"/>
      <c r="AE72" s="284"/>
      <c r="AF72" s="284"/>
      <c r="AG72" s="284"/>
      <c r="AH72" s="284"/>
      <c r="AI72" s="284"/>
      <c r="AJ72" s="284"/>
      <c r="AK72" s="284"/>
      <c r="AN72" s="284" t="s">
        <v>593</v>
      </c>
      <c r="AR72" s="284" t="s">
        <v>594</v>
      </c>
      <c r="AU72" s="284" t="s">
        <v>595</v>
      </c>
      <c r="AY72" s="284"/>
      <c r="AZ72" s="284"/>
      <c r="BA72" s="284"/>
      <c r="BB72" s="284"/>
      <c r="BC72" s="284"/>
      <c r="BD72" s="284"/>
      <c r="BE72" s="284"/>
      <c r="BF72" s="284"/>
      <c r="BG72" s="284" t="s">
        <v>596</v>
      </c>
      <c r="BK72" s="283"/>
      <c r="BL72" s="283"/>
      <c r="BM72" s="283"/>
      <c r="BN72" s="283"/>
      <c r="BO72" s="283"/>
      <c r="BP72" s="283"/>
      <c r="BQ72" s="283"/>
      <c r="BR72" s="283"/>
      <c r="BS72" s="284" t="s">
        <v>597</v>
      </c>
      <c r="BT72" s="283"/>
      <c r="CF72" s="284" t="s">
        <v>598</v>
      </c>
      <c r="CS72" s="284" t="s">
        <v>599</v>
      </c>
    </row>
    <row r="73" spans="1:105" s="327" customFormat="1" ht="13.95" customHeight="1" x14ac:dyDescent="0.2">
      <c r="A73" s="288"/>
      <c r="B73" s="284"/>
      <c r="C73" s="283"/>
      <c r="D73" s="283"/>
      <c r="E73" s="283"/>
      <c r="F73" s="283"/>
      <c r="G73" s="283"/>
      <c r="H73" s="283"/>
      <c r="I73" s="283"/>
      <c r="J73" s="283"/>
      <c r="K73" s="283"/>
      <c r="L73" s="283"/>
      <c r="V73" s="278"/>
      <c r="W73" s="284"/>
      <c r="X73" s="284"/>
      <c r="Y73" s="278"/>
      <c r="Z73" s="284"/>
      <c r="AA73" s="284"/>
      <c r="AB73" s="278"/>
      <c r="AC73" s="284"/>
      <c r="AD73" s="284"/>
      <c r="AE73" s="284"/>
      <c r="AF73" s="284"/>
      <c r="AG73" s="284"/>
      <c r="AH73" s="284"/>
      <c r="AI73" s="284"/>
      <c r="AJ73" s="284"/>
      <c r="AK73" s="284"/>
      <c r="AN73" s="284" t="s">
        <v>600</v>
      </c>
      <c r="AO73" s="284"/>
      <c r="AP73" s="284"/>
      <c r="AQ73" s="284"/>
      <c r="AR73" s="284" t="s">
        <v>848</v>
      </c>
      <c r="AT73" s="284"/>
      <c r="AU73" s="284" t="s">
        <v>601</v>
      </c>
      <c r="AY73" s="286"/>
      <c r="AZ73" s="284"/>
      <c r="BS73" s="284" t="s">
        <v>602</v>
      </c>
      <c r="CF73" s="284" t="s">
        <v>603</v>
      </c>
      <c r="CG73" s="284"/>
      <c r="CS73" s="284" t="s">
        <v>604</v>
      </c>
    </row>
    <row r="74" spans="1:105" s="327" customFormat="1" ht="13.95" customHeight="1" x14ac:dyDescent="0.2">
      <c r="A74" s="278"/>
      <c r="B74" s="284"/>
      <c r="C74" s="284"/>
      <c r="D74" s="284"/>
      <c r="E74" s="284"/>
      <c r="F74" s="284"/>
      <c r="G74" s="284"/>
      <c r="H74" s="284"/>
      <c r="I74" s="284"/>
      <c r="J74" s="284"/>
      <c r="K74" s="284"/>
      <c r="L74" s="284"/>
      <c r="V74" s="287"/>
      <c r="W74" s="284"/>
      <c r="X74" s="284"/>
      <c r="Y74" s="287"/>
      <c r="Z74" s="284"/>
      <c r="AA74" s="284"/>
      <c r="AB74" s="287"/>
      <c r="AC74" s="284"/>
      <c r="AD74" s="284"/>
      <c r="AE74" s="284"/>
      <c r="AF74" s="284"/>
      <c r="AG74" s="284"/>
      <c r="AH74" s="284"/>
      <c r="AI74" s="284"/>
      <c r="AJ74" s="284"/>
      <c r="AN74" s="284"/>
      <c r="AO74" s="284"/>
      <c r="AR74" s="284" t="s">
        <v>849</v>
      </c>
      <c r="AY74" s="286"/>
      <c r="AZ74" s="284"/>
      <c r="BK74" s="286"/>
      <c r="BL74" s="284"/>
      <c r="BS74" s="284" t="s">
        <v>605</v>
      </c>
      <c r="CF74" s="284" t="s">
        <v>606</v>
      </c>
      <c r="CG74" s="278"/>
      <c r="CH74" s="278"/>
      <c r="CI74" s="278"/>
      <c r="CJ74" s="278"/>
      <c r="CK74" s="278"/>
      <c r="CL74" s="278"/>
      <c r="CM74" s="278"/>
      <c r="CN74" s="278"/>
      <c r="CO74" s="278"/>
      <c r="CP74" s="278"/>
      <c r="CQ74" s="278"/>
      <c r="CR74" s="276"/>
      <c r="CS74" s="284" t="s">
        <v>607</v>
      </c>
    </row>
    <row r="75" spans="1:105" s="327" customFormat="1" ht="13.95" customHeight="1" x14ac:dyDescent="0.2">
      <c r="B75" s="284"/>
      <c r="C75" s="284"/>
      <c r="F75" s="284"/>
      <c r="H75" s="284"/>
      <c r="V75" s="1682"/>
      <c r="W75" s="1682"/>
      <c r="X75" s="1682"/>
      <c r="Y75" s="1682"/>
      <c r="Z75" s="1682"/>
      <c r="AA75" s="1682"/>
      <c r="AB75" s="1682"/>
      <c r="AC75" s="1682"/>
      <c r="AD75" s="1682"/>
      <c r="AE75" s="1682"/>
      <c r="AF75" s="1682"/>
      <c r="AG75" s="1682"/>
      <c r="AH75" s="1682"/>
      <c r="AI75" s="1682"/>
      <c r="AJ75" s="1682"/>
      <c r="AK75" s="1682"/>
      <c r="AL75" s="1682"/>
      <c r="AR75" s="284" t="s">
        <v>850</v>
      </c>
      <c r="BS75" s="284" t="s">
        <v>608</v>
      </c>
      <c r="CF75" s="284" t="s">
        <v>609</v>
      </c>
      <c r="CG75" s="278"/>
      <c r="CH75" s="278"/>
      <c r="CI75" s="278"/>
      <c r="CJ75" s="278"/>
      <c r="CK75" s="278"/>
      <c r="CL75" s="278"/>
      <c r="CM75" s="278"/>
      <c r="CN75" s="278"/>
      <c r="CO75" s="278"/>
      <c r="CP75" s="278"/>
      <c r="CQ75" s="278"/>
      <c r="CR75" s="278"/>
      <c r="CS75" s="284" t="s">
        <v>610</v>
      </c>
    </row>
    <row r="76" spans="1:105" s="327" customFormat="1" ht="13.95" customHeight="1" x14ac:dyDescent="0.2">
      <c r="B76" s="284"/>
      <c r="F76" s="284"/>
      <c r="H76" s="284"/>
      <c r="V76" s="278"/>
      <c r="W76" s="284"/>
      <c r="X76" s="284"/>
      <c r="Y76" s="278"/>
      <c r="Z76" s="284"/>
      <c r="AA76" s="284"/>
      <c r="AB76" s="278"/>
      <c r="AC76" s="284"/>
      <c r="AD76" s="284"/>
      <c r="BS76" s="284" t="s">
        <v>611</v>
      </c>
      <c r="CF76" s="284" t="s">
        <v>612</v>
      </c>
      <c r="CS76" s="284" t="s">
        <v>613</v>
      </c>
    </row>
    <row r="77" spans="1:105" s="327" customFormat="1" ht="15" customHeight="1" x14ac:dyDescent="0.2">
      <c r="M77" s="1732"/>
      <c r="N77" s="1732"/>
      <c r="O77" s="1732"/>
      <c r="P77" s="1732"/>
      <c r="Q77" s="1732"/>
      <c r="R77" s="1732"/>
      <c r="S77" s="1732"/>
      <c r="T77" s="1732"/>
      <c r="U77" s="1732"/>
      <c r="V77" s="1682"/>
      <c r="W77" s="1682"/>
      <c r="X77" s="1682"/>
      <c r="Y77" s="1682"/>
      <c r="Z77" s="1682"/>
      <c r="AA77" s="1682"/>
      <c r="AB77" s="1682"/>
      <c r="AC77" s="1682"/>
      <c r="AD77" s="1682"/>
      <c r="AE77" s="1682"/>
      <c r="AF77" s="1682"/>
      <c r="AG77" s="1682"/>
      <c r="AH77" s="1682"/>
      <c r="AI77" s="1682"/>
      <c r="AJ77" s="1682"/>
      <c r="AK77" s="1682"/>
      <c r="AQ77" s="1733"/>
      <c r="AR77" s="1733"/>
      <c r="AS77" s="1733"/>
      <c r="AT77" s="827"/>
      <c r="BS77" s="284" t="s">
        <v>855</v>
      </c>
      <c r="CF77" s="284"/>
      <c r="CG77" s="827"/>
      <c r="CH77" s="827"/>
      <c r="CI77" s="827"/>
      <c r="CJ77" s="827"/>
      <c r="CK77" s="827"/>
      <c r="CS77" s="284" t="s">
        <v>614</v>
      </c>
    </row>
    <row r="78" spans="1:105" s="327" customFormat="1" ht="13.5" customHeight="1" x14ac:dyDescent="0.2">
      <c r="M78" s="1732"/>
      <c r="N78" s="1732"/>
      <c r="O78" s="1732"/>
      <c r="P78" s="1732"/>
      <c r="Q78" s="1732"/>
      <c r="R78" s="1732"/>
      <c r="S78" s="1732"/>
      <c r="T78" s="1732"/>
      <c r="U78" s="1732"/>
      <c r="V78" s="1734"/>
      <c r="W78" s="1734"/>
      <c r="X78" s="1734"/>
      <c r="Y78" s="1734"/>
      <c r="Z78" s="1734"/>
      <c r="AA78" s="1734"/>
      <c r="AB78" s="1734"/>
      <c r="AC78" s="1734"/>
      <c r="AD78" s="1734"/>
      <c r="AE78" s="1734"/>
      <c r="AF78" s="1734"/>
      <c r="AG78" s="1734"/>
      <c r="AH78" s="1734"/>
      <c r="AI78" s="1734"/>
      <c r="AJ78" s="1734"/>
      <c r="AK78" s="1734"/>
      <c r="AL78" s="1734"/>
      <c r="AM78" s="1734"/>
      <c r="AQ78" s="1735"/>
      <c r="AR78" s="1735"/>
      <c r="AS78" s="1735"/>
      <c r="AT78" s="828"/>
      <c r="BS78" s="284"/>
      <c r="CF78" s="278"/>
      <c r="CG78" s="278"/>
      <c r="CH78" s="278"/>
      <c r="CI78" s="278"/>
      <c r="CJ78" s="278"/>
      <c r="CK78" s="278"/>
      <c r="CS78" s="284" t="s">
        <v>615</v>
      </c>
    </row>
    <row r="79" spans="1:105" x14ac:dyDescent="0.2">
      <c r="V79" s="1734"/>
      <c r="W79" s="1734"/>
      <c r="X79" s="1734"/>
      <c r="Y79" s="1734"/>
      <c r="Z79" s="1734"/>
      <c r="AA79" s="1734"/>
      <c r="AB79" s="1734"/>
      <c r="AC79" s="1734"/>
      <c r="AD79" s="1734"/>
      <c r="AE79" s="1734"/>
      <c r="AF79" s="1734"/>
      <c r="AG79" s="1734"/>
      <c r="AH79" s="1734"/>
      <c r="AI79" s="1734"/>
      <c r="AJ79" s="1734"/>
      <c r="AK79" s="1734"/>
      <c r="AL79" s="1734"/>
      <c r="AM79" s="1734"/>
      <c r="BS79" s="327"/>
      <c r="CF79" s="278"/>
      <c r="CG79" s="278"/>
      <c r="CH79" s="278"/>
      <c r="CI79" s="278"/>
      <c r="CJ79" s="278"/>
      <c r="CK79" s="278"/>
      <c r="CS79" s="284" t="s">
        <v>616</v>
      </c>
    </row>
    <row r="80" spans="1:105" ht="15.75" customHeight="1" x14ac:dyDescent="0.2">
      <c r="C80" s="1682"/>
      <c r="D80" s="1682"/>
      <c r="E80" s="1682"/>
      <c r="F80" s="1682"/>
      <c r="G80" s="1682"/>
      <c r="H80" s="1682"/>
      <c r="I80" s="1682"/>
      <c r="J80" s="1682"/>
      <c r="K80" s="1682"/>
      <c r="V80" s="1734"/>
      <c r="W80" s="1734"/>
      <c r="X80" s="1734"/>
      <c r="Y80" s="1734"/>
      <c r="Z80" s="1734"/>
      <c r="AA80" s="1734"/>
      <c r="AB80" s="1734"/>
      <c r="AC80" s="1734"/>
      <c r="AD80" s="1734"/>
      <c r="AE80" s="1734"/>
      <c r="AF80" s="1734"/>
      <c r="AG80" s="1734"/>
      <c r="AH80" s="1734"/>
      <c r="AI80" s="1734"/>
      <c r="AJ80" s="1734"/>
      <c r="AK80" s="1734"/>
      <c r="AL80" s="1734"/>
      <c r="AM80" s="1734"/>
    </row>
    <row r="81" spans="3:12" x14ac:dyDescent="0.2">
      <c r="C81" s="829"/>
    </row>
    <row r="82" spans="3:12" ht="14.25" customHeight="1" x14ac:dyDescent="0.2">
      <c r="C82" s="1731"/>
      <c r="D82" s="1731"/>
      <c r="E82" s="1731"/>
      <c r="F82" s="1731"/>
      <c r="G82" s="1731"/>
      <c r="H82" s="1731"/>
      <c r="I82" s="1731"/>
      <c r="J82" s="1731"/>
      <c r="K82" s="1731"/>
      <c r="L82" s="1731"/>
    </row>
    <row r="83" spans="3:12" x14ac:dyDescent="0.2">
      <c r="C83" s="1731"/>
      <c r="D83" s="1731"/>
      <c r="E83" s="1731"/>
      <c r="F83" s="1731"/>
      <c r="G83" s="1731"/>
      <c r="H83" s="1731"/>
      <c r="I83" s="1731"/>
      <c r="J83" s="1731"/>
      <c r="K83" s="1731"/>
      <c r="L83" s="1731"/>
    </row>
    <row r="138" spans="2:105" ht="28.5" customHeight="1" x14ac:dyDescent="0.2">
      <c r="B138" s="1575"/>
      <c r="C138" s="1575"/>
      <c r="D138" s="1575"/>
      <c r="E138" s="1575"/>
      <c r="F138" s="1575"/>
      <c r="G138" s="1575"/>
      <c r="H138" s="1575"/>
      <c r="I138" s="1575"/>
      <c r="J138" s="1575"/>
      <c r="K138" s="1575"/>
      <c r="L138" s="1575"/>
      <c r="M138" s="1575"/>
      <c r="N138" s="1575"/>
      <c r="O138" s="1575"/>
      <c r="P138" s="1575"/>
      <c r="Q138" s="1575"/>
      <c r="R138" s="1575"/>
      <c r="S138" s="1575"/>
      <c r="T138" s="1575"/>
      <c r="U138" s="1575"/>
      <c r="V138" s="1575"/>
      <c r="W138" s="1575"/>
      <c r="X138" s="1575"/>
      <c r="Y138" s="1575"/>
      <c r="Z138" s="1575"/>
      <c r="AA138" s="1575"/>
      <c r="AB138" s="1575"/>
      <c r="AC138" s="1575"/>
      <c r="AD138" s="1575"/>
      <c r="AE138" s="1575"/>
      <c r="AF138" s="1575"/>
      <c r="AG138" s="1575"/>
      <c r="AH138" s="1575"/>
      <c r="AI138" s="1575"/>
      <c r="AJ138" s="1575"/>
      <c r="AK138" s="1575"/>
      <c r="AL138" s="1575"/>
      <c r="AM138" s="1575"/>
      <c r="AN138" s="1575"/>
      <c r="AO138" s="1575"/>
      <c r="AP138" s="1575"/>
      <c r="AQ138" s="1575"/>
      <c r="AR138" s="1575"/>
      <c r="AS138" s="1575"/>
      <c r="AT138" s="1575"/>
      <c r="AU138" s="1575"/>
      <c r="AV138" s="1575"/>
      <c r="AW138" s="1575"/>
      <c r="AX138" s="1575"/>
      <c r="AY138" s="830"/>
      <c r="AZ138" s="830"/>
      <c r="BA138" s="830"/>
      <c r="BB138" s="830"/>
      <c r="BC138" s="830"/>
      <c r="BD138" s="830"/>
      <c r="BE138" s="830"/>
      <c r="BF138" s="830"/>
      <c r="BG138" s="830"/>
      <c r="BH138" s="830"/>
      <c r="BI138" s="830"/>
      <c r="BJ138" s="830"/>
      <c r="BK138" s="574"/>
      <c r="BL138" s="574"/>
      <c r="BM138" s="574"/>
      <c r="BN138" s="574"/>
      <c r="BO138" s="574"/>
      <c r="BP138" s="574"/>
      <c r="BQ138" s="574"/>
      <c r="BR138" s="574"/>
      <c r="BS138" s="574"/>
      <c r="BT138" s="574"/>
      <c r="BU138" s="574"/>
      <c r="BV138" s="830"/>
      <c r="BW138" s="830"/>
      <c r="BX138" s="830"/>
      <c r="BY138" s="830"/>
      <c r="BZ138" s="830"/>
      <c r="CA138" s="830"/>
      <c r="CB138" s="830"/>
      <c r="CC138" s="830"/>
      <c r="CD138" s="830"/>
      <c r="CE138" s="830"/>
      <c r="CF138" s="1575"/>
      <c r="CG138" s="1575"/>
      <c r="CH138" s="1575"/>
      <c r="CI138" s="1575"/>
      <c r="CJ138" s="1575"/>
      <c r="CK138" s="1575"/>
      <c r="CL138" s="1575"/>
      <c r="CM138" s="1575"/>
      <c r="CN138" s="574"/>
      <c r="CO138" s="574"/>
      <c r="CP138" s="574"/>
      <c r="CQ138" s="574"/>
      <c r="CR138" s="574"/>
      <c r="CT138" s="830"/>
      <c r="CU138" s="830"/>
      <c r="CV138" s="830"/>
      <c r="CW138" s="830"/>
      <c r="CX138" s="830"/>
      <c r="CY138" s="830"/>
      <c r="CZ138" s="574"/>
      <c r="DA138" s="574"/>
    </row>
    <row r="139" spans="2:105" ht="14.4" x14ac:dyDescent="0.2">
      <c r="CS139" s="830"/>
    </row>
  </sheetData>
  <autoFilter ref="A6:DC6" xr:uid="{D0FF9CAD-8D48-47F6-9859-548A3EB70F43}"/>
  <mergeCells count="93">
    <mergeCell ref="BC4:BC5"/>
    <mergeCell ref="CF138:CM138"/>
    <mergeCell ref="C80:K80"/>
    <mergeCell ref="C82:L83"/>
    <mergeCell ref="B138:L138"/>
    <mergeCell ref="M138:U138"/>
    <mergeCell ref="V138:AM138"/>
    <mergeCell ref="AN138:AX138"/>
    <mergeCell ref="V75:AL75"/>
    <mergeCell ref="M77:U78"/>
    <mergeCell ref="V77:AK77"/>
    <mergeCell ref="AQ77:AS77"/>
    <mergeCell ref="V78:AM80"/>
    <mergeCell ref="AQ78:AS78"/>
    <mergeCell ref="BH4:BH5"/>
    <mergeCell ref="BI4:BI5"/>
    <mergeCell ref="CF71:CJ71"/>
    <mergeCell ref="BJ4:BJ5"/>
    <mergeCell ref="BS4:BS5"/>
    <mergeCell ref="BT4:BT5"/>
    <mergeCell ref="BV4:BX4"/>
    <mergeCell ref="BY4:CA4"/>
    <mergeCell ref="CB4:CD4"/>
    <mergeCell ref="AK4:AM4"/>
    <mergeCell ref="AW4:AW5"/>
    <mergeCell ref="AX4:AX5"/>
    <mergeCell ref="AY4:AY5"/>
    <mergeCell ref="AZ4:AZ5"/>
    <mergeCell ref="V4:X4"/>
    <mergeCell ref="Y4:AA4"/>
    <mergeCell ref="AB4:AD4"/>
    <mergeCell ref="AE4:AG4"/>
    <mergeCell ref="AH4:AJ4"/>
    <mergeCell ref="B4:D4"/>
    <mergeCell ref="E4:I4"/>
    <mergeCell ref="J4:L4"/>
    <mergeCell ref="M4:O4"/>
    <mergeCell ref="P4:R4"/>
    <mergeCell ref="S4:U4"/>
    <mergeCell ref="CO3:CO5"/>
    <mergeCell ref="CP3:CP5"/>
    <mergeCell ref="CQ3:CQ5"/>
    <mergeCell ref="CS3:CY3"/>
    <mergeCell ref="CF3:CF5"/>
    <mergeCell ref="CG3:CG5"/>
    <mergeCell ref="CH3:CI4"/>
    <mergeCell ref="CJ3:CL3"/>
    <mergeCell ref="CM3:CM5"/>
    <mergeCell ref="CN3:CN5"/>
    <mergeCell ref="CJ4:CJ5"/>
    <mergeCell ref="CK4:CK5"/>
    <mergeCell ref="CL4:CL5"/>
    <mergeCell ref="BK3:BM3"/>
    <mergeCell ref="BN3:BO3"/>
    <mergeCell ref="CZ3:CZ5"/>
    <mergeCell ref="DA3:DA5"/>
    <mergeCell ref="CT4:CT5"/>
    <mergeCell ref="CU4:CU5"/>
    <mergeCell ref="CV4:CV5"/>
    <mergeCell ref="CW4:CW5"/>
    <mergeCell ref="CX4:CX5"/>
    <mergeCell ref="CY4:CY5"/>
    <mergeCell ref="CB3:CD3"/>
    <mergeCell ref="AN3:AO3"/>
    <mergeCell ref="AP3:AP5"/>
    <mergeCell ref="AQ3:AT3"/>
    <mergeCell ref="AU3:BD3"/>
    <mergeCell ref="BG3:BH3"/>
    <mergeCell ref="BI3:BJ3"/>
    <mergeCell ref="AN4:AN5"/>
    <mergeCell ref="AO4:AO5"/>
    <mergeCell ref="AR4:AS4"/>
    <mergeCell ref="AV4:AV5"/>
    <mergeCell ref="BB4:BB5"/>
    <mergeCell ref="BA4:BA5"/>
    <mergeCell ref="BD4:BD5"/>
    <mergeCell ref="BE4:BE5"/>
    <mergeCell ref="BG4:BG5"/>
    <mergeCell ref="B3:I3"/>
    <mergeCell ref="J3:O3"/>
    <mergeCell ref="P3:U3"/>
    <mergeCell ref="V3:AA3"/>
    <mergeCell ref="AB3:AG3"/>
    <mergeCell ref="BV2:BX2"/>
    <mergeCell ref="BY2:CA2"/>
    <mergeCell ref="AH3:AM3"/>
    <mergeCell ref="M2:N2"/>
    <mergeCell ref="AB2:AC2"/>
    <mergeCell ref="AN2:AP2"/>
    <mergeCell ref="AY2:BA2"/>
    <mergeCell ref="BP3:BQ3"/>
    <mergeCell ref="BS3:BT3"/>
    <mergeCell ref="BV3:CA3"/>
  </mergeCells>
  <phoneticPr fontId="2"/>
  <dataValidations count="2">
    <dataValidation allowBlank="1" showInputMessage="1" showErrorMessage="1" sqref="AU34 CY34 B40:DA40" xr:uid="{1082129F-A71A-4FC9-8AAF-01FCFAB91B3D}"/>
    <dataValidation imeMode="disabled" allowBlank="1" showInputMessage="1" showErrorMessage="1" sqref="CY7:CY33 AU7:AU33 CZ7:DA39 CI12:CX13 CY35:CY39 AU35:AU39 CH13 AV12:CG13 B7:AT39 AV14:CX39 AV7:CX11 B41:DA68" xr:uid="{86F4B9AE-EC6B-44D7-B6A5-2D64B1B5FE8D}"/>
  </dataValidations>
  <pageMargins left="0.74803149606299202" right="0.23622047244094502" top="0.84" bottom="0.39370078740157499" header="0.59055118110236204" footer="0.31496062992126"/>
  <pageSetup paperSize="9" scale="65" firstPageNumber="12" fitToWidth="0" orientation="portrait" r:id="rId1"/>
  <headerFooter alignWithMargins="0">
    <oddHeader>&amp;L&amp;"ＭＳ Ｐゴシック,太字"&amp;16 ７　施　設</oddHeader>
  </headerFooter>
  <rowBreaks count="1" manualBreakCount="1">
    <brk id="79" max="101" man="1"/>
  </rowBreaks>
  <colBreaks count="8" manualBreakCount="8">
    <brk id="9" max="1048575" man="1"/>
    <brk id="21" min="1" max="78" man="1"/>
    <brk id="33" min="1" max="78" man="1"/>
    <brk id="46" min="1" max="78" man="1"/>
    <brk id="58" min="1" max="78" man="1"/>
    <brk id="70" min="1" max="78" man="1"/>
    <brk id="83" min="1" max="78" man="1"/>
    <brk id="96" min="1" max="7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25</vt:i4>
      </vt:variant>
    </vt:vector>
  </HeadingPairs>
  <TitlesOfParts>
    <vt:vector size="40" baseType="lpstr">
      <vt:lpstr>表紙</vt:lpstr>
      <vt:lpstr>記入要領</vt:lpstr>
      <vt:lpstr>１市　勢</vt:lpstr>
      <vt:lpstr>２職員数及び職員給料等</vt:lpstr>
      <vt:lpstr>３保健・福祉</vt:lpstr>
      <vt:lpstr>４環　境</vt:lpstr>
      <vt:lpstr>５産　業</vt:lpstr>
      <vt:lpstr>６　都　市 </vt:lpstr>
      <vt:lpstr>7　施　設</vt:lpstr>
      <vt:lpstr>ⅰ　歳入・歳出総額</vt:lpstr>
      <vt:lpstr>ⅱ　歳入内訳（款別）</vt:lpstr>
      <vt:lpstr>ⅲ　目的別歳出内訳</vt:lpstr>
      <vt:lpstr>ⅳ　市税内訳</vt:lpstr>
      <vt:lpstr>ⅴ　市税徴収率</vt:lpstr>
      <vt:lpstr>中核市合併の変遷</vt:lpstr>
      <vt:lpstr>'１市　勢'!Print_Area</vt:lpstr>
      <vt:lpstr>'２職員数及び職員給料等'!Print_Area</vt:lpstr>
      <vt:lpstr>'３保健・福祉'!Print_Area</vt:lpstr>
      <vt:lpstr>'４環　境'!Print_Area</vt:lpstr>
      <vt:lpstr>'５産　業'!Print_Area</vt:lpstr>
      <vt:lpstr>'６　都　市 '!Print_Area</vt:lpstr>
      <vt:lpstr>'7　施　設'!Print_Area</vt:lpstr>
      <vt:lpstr>'ⅰ　歳入・歳出総額'!Print_Area</vt:lpstr>
      <vt:lpstr>'ⅱ　歳入内訳（款別）'!Print_Area</vt:lpstr>
      <vt:lpstr>'ⅲ　目的別歳出内訳'!Print_Area</vt:lpstr>
      <vt:lpstr>'ⅳ　市税内訳'!Print_Area</vt:lpstr>
      <vt:lpstr>'ⅴ　市税徴収率'!Print_Area</vt:lpstr>
      <vt:lpstr>記入要領!Print_Area</vt:lpstr>
      <vt:lpstr>中核市合併の変遷!Print_Area</vt:lpstr>
      <vt:lpstr>'１市　勢'!Print_Titles</vt:lpstr>
      <vt:lpstr>'３保健・福祉'!Print_Titles</vt:lpstr>
      <vt:lpstr>'５産　業'!Print_Titles</vt:lpstr>
      <vt:lpstr>'６　都　市 '!Print_Titles</vt:lpstr>
      <vt:lpstr>'7　施　設'!Print_Titles</vt:lpstr>
      <vt:lpstr>'ⅰ　歳入・歳出総額'!Print_Titles</vt:lpstr>
      <vt:lpstr>'ⅱ　歳入内訳（款別）'!Print_Titles</vt:lpstr>
      <vt:lpstr>'ⅲ　目的別歳出内訳'!Print_Titles</vt:lpstr>
      <vt:lpstr>'ⅳ　市税内訳'!Print_Titles</vt:lpstr>
      <vt:lpstr>'ⅴ　市税徴収率'!Print_Titles</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5739</dc:creator>
  <cp:lastModifiedBy>PC03</cp:lastModifiedBy>
  <cp:lastPrinted>2026-01-20T05:30:59Z</cp:lastPrinted>
  <dcterms:created xsi:type="dcterms:W3CDTF">2023-11-02T01:41:14Z</dcterms:created>
  <dcterms:modified xsi:type="dcterms:W3CDTF">2026-01-20T05:31:50Z</dcterms:modified>
</cp:coreProperties>
</file>