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https://chuukakushi-my.sharepoint.com/personal/shityoukai_chuukakushi_onmicrosoft_com/Documents/OneDrive/★共有フォルダ/4101 都市要覧/R05/100公開後の修正/R7以降/R071212/"/>
    </mc:Choice>
  </mc:AlternateContent>
  <xr:revisionPtr revIDLastSave="312" documentId="13_ncr:1_{00062A13-D008-467F-816E-2A8A67E168A6}" xr6:coauthVersionLast="47" xr6:coauthVersionMax="47" xr10:uidLastSave="{0DE1BD22-2AAA-4F62-8E45-70415AEA8DEE}"/>
  <bookViews>
    <workbookView xWindow="-108" yWindow="-108" windowWidth="23256" windowHeight="13896" tabRatio="667" firstSheet="8" activeTab="13" xr2:uid="{00000000-000D-0000-FFFF-FFFF00000000}"/>
  </bookViews>
  <sheets>
    <sheet name="表紙" sheetId="1" r:id="rId1"/>
    <sheet name="記入要領" sheetId="2" r:id="rId2"/>
    <sheet name="１市　勢" sheetId="3" r:id="rId3"/>
    <sheet name="２職員数及び職員給料等" sheetId="4" r:id="rId4"/>
    <sheet name="３保健・福祉" sheetId="5" r:id="rId5"/>
    <sheet name="４環　境" sheetId="6" r:id="rId6"/>
    <sheet name="５産　業" sheetId="7" r:id="rId7"/>
    <sheet name="６　都　市 " sheetId="8" r:id="rId8"/>
    <sheet name="7　施　設" sheetId="9" r:id="rId9"/>
    <sheet name="ⅰ　歳入・歳出総額" sheetId="10" r:id="rId10"/>
    <sheet name="ⅱ　歳入内訳（款別）" sheetId="11" r:id="rId11"/>
    <sheet name="ⅲ　目的別歳出内訳" sheetId="12" r:id="rId12"/>
    <sheet name="ⅳ　市税内訳" sheetId="13" r:id="rId13"/>
    <sheet name="ⅴ　市税徴収率" sheetId="14" r:id="rId14"/>
    <sheet name="中核市合併の変遷" sheetId="16" r:id="rId15"/>
  </sheets>
  <definedNames>
    <definedName name="_xlnm._FilterDatabase" localSheetId="4" hidden="1">'３保健・福祉'!$CD$2:$CN$74</definedName>
    <definedName name="_xlnm._FilterDatabase" localSheetId="5" hidden="1">'４環　境'!$A$7:$M$72</definedName>
    <definedName name="_xlnm._FilterDatabase" localSheetId="10" hidden="1">'ⅱ　歳入内訳（款別）'!$A$5:$BF$5</definedName>
    <definedName name="_xlnm._FilterDatabase" localSheetId="11" hidden="1">'ⅲ　目的別歳出内訳'!$A$1:$AE$5</definedName>
    <definedName name="_xlnm._FilterDatabase" localSheetId="12" hidden="1">'ⅳ　市税内訳'!$A$1:$AC$5</definedName>
    <definedName name="_xlnm.Print_Area" localSheetId="2">'１市　勢'!$A$3:$AJ$75</definedName>
    <definedName name="_xlnm.Print_Area" localSheetId="3">'２職員数及び職員給料等'!$A$3:$K$77</definedName>
    <definedName name="_xlnm.Print_Area" localSheetId="4">'３保健・福祉'!$A$2:$CX$80</definedName>
    <definedName name="_xlnm.Print_Area" localSheetId="5">'４環　境'!$A$3:$N$71</definedName>
    <definedName name="_xlnm.Print_Area" localSheetId="6">'５産　業'!$A$3:$X$72</definedName>
    <definedName name="_xlnm.Print_Area" localSheetId="7">'６　都　市 '!$A$2:$AK$72</definedName>
    <definedName name="_xlnm.Print_Area" localSheetId="8">'7　施　設'!$A$2:$DB$73</definedName>
    <definedName name="_xlnm.Print_Area" localSheetId="9">'ⅰ　歳入・歳出総額'!$A$1:$Z$69</definedName>
    <definedName name="_xlnm.Print_Area" localSheetId="10">'ⅱ　歳入内訳（款別）'!$A$1:$BF$69</definedName>
    <definedName name="_xlnm.Print_Area" localSheetId="11">'ⅲ　目的別歳出内訳'!$A$1:$AE$69</definedName>
    <definedName name="_xlnm.Print_Area" localSheetId="12">'ⅳ　市税内訳'!$A$1:$AC$69</definedName>
    <definedName name="_xlnm.Print_Area" localSheetId="13">'ⅴ　市税徴収率'!$A$1:$J$69</definedName>
    <definedName name="_xlnm.Print_Area" localSheetId="1">記入要領!$A$1:$C$51</definedName>
    <definedName name="_xlnm.Print_Area" localSheetId="14">中核市合併の変遷!$A$1:$D$90</definedName>
    <definedName name="_xlnm.Print_Titles" localSheetId="2">'１市　勢'!$A:$A</definedName>
    <definedName name="_xlnm.Print_Titles" localSheetId="4">'３保健・福祉'!$A:$A</definedName>
    <definedName name="_xlnm.Print_Titles" localSheetId="6">'５産　業'!$A:$A</definedName>
    <definedName name="_xlnm.Print_Titles" localSheetId="7">'６　都　市 '!$A:$A</definedName>
    <definedName name="_xlnm.Print_Titles" localSheetId="8">'7　施　設'!$A:$A</definedName>
    <definedName name="_xlnm.Print_Titles" localSheetId="9">'ⅰ　歳入・歳出総額'!$A:$A</definedName>
    <definedName name="_xlnm.Print_Titles" localSheetId="10">'ⅱ　歳入内訳（款別）'!$A:$A</definedName>
    <definedName name="_xlnm.Print_Titles" localSheetId="11">'ⅲ　目的別歳出内訳'!$A:$A</definedName>
    <definedName name="_xlnm.Print_Titles" localSheetId="12">'ⅳ　市税内訳'!$A:$A</definedName>
    <definedName name="_xlnm.Print_Titles" localSheetId="13">'ⅴ　市税徴収率'!$A:$A</definedName>
    <definedName name="_xlnm.Print_Titles" localSheetId="1">記入要領!$15:$15</definedName>
    <definedName name="Z_429188B7_F8E8_41E0_BAA6_8F869C883D4F_.wvu.FilterData" localSheetId="4" hidden="1">'３保健・福祉'!$CD$2:$CN$74</definedName>
    <definedName name="Z_429188B7_F8E8_41E0_BAA6_8F869C883D4F_.wvu.FilterData" localSheetId="5" hidden="1">'４環　境'!$A$7:$M$72</definedName>
    <definedName name="Z_429188B7_F8E8_41E0_BAA6_8F869C883D4F_.wvu.FilterData" localSheetId="10" hidden="1">'ⅱ　歳入内訳（款別）'!$A$5:$BF$5</definedName>
    <definedName name="Z_429188B7_F8E8_41E0_BAA6_8F869C883D4F_.wvu.FilterData" localSheetId="11" hidden="1">'ⅲ　目的別歳出内訳'!$A$1:$AE$5</definedName>
    <definedName name="Z_429188B7_F8E8_41E0_BAA6_8F869C883D4F_.wvu.FilterData" localSheetId="12" hidden="1">'ⅳ　市税内訳'!$A$1:$AC$5</definedName>
    <definedName name="Z_429188B7_F8E8_41E0_BAA6_8F869C883D4F_.wvu.PrintArea" localSheetId="2" hidden="1">'１市　勢'!$A$3:$AJ$75</definedName>
    <definedName name="Z_429188B7_F8E8_41E0_BAA6_8F869C883D4F_.wvu.PrintArea" localSheetId="3" hidden="1">'２職員数及び職員給料等'!$A$3:$K$78</definedName>
    <definedName name="Z_429188B7_F8E8_41E0_BAA6_8F869C883D4F_.wvu.PrintArea" localSheetId="4" hidden="1">'３保健・福祉'!$A$2:$CX$78</definedName>
    <definedName name="Z_429188B7_F8E8_41E0_BAA6_8F869C883D4F_.wvu.PrintArea" localSheetId="5" hidden="1">'４環　境'!$A$3:$N$78</definedName>
    <definedName name="Z_429188B7_F8E8_41E0_BAA6_8F869C883D4F_.wvu.PrintArea" localSheetId="6" hidden="1">'５産　業'!$A$3:$X$71</definedName>
    <definedName name="Z_429188B7_F8E8_41E0_BAA6_8F869C883D4F_.wvu.PrintArea" localSheetId="7" hidden="1">'６　都　市 '!$A$2:$AK$75</definedName>
    <definedName name="Z_429188B7_F8E8_41E0_BAA6_8F869C883D4F_.wvu.PrintArea" localSheetId="8" hidden="1">'7　施　設'!$A$2:$DB$81</definedName>
    <definedName name="Z_429188B7_F8E8_41E0_BAA6_8F869C883D4F_.wvu.PrintArea" localSheetId="9" hidden="1">'ⅰ　歳入・歳出総額'!$A$1:$Y$75</definedName>
    <definedName name="Z_429188B7_F8E8_41E0_BAA6_8F869C883D4F_.wvu.PrintArea" localSheetId="10" hidden="1">'ⅱ　歳入内訳（款別）'!$A$1:$BF$75</definedName>
    <definedName name="Z_429188B7_F8E8_41E0_BAA6_8F869C883D4F_.wvu.PrintArea" localSheetId="11" hidden="1">'ⅲ　目的別歳出内訳'!$A$1:$AE$75</definedName>
    <definedName name="Z_429188B7_F8E8_41E0_BAA6_8F869C883D4F_.wvu.PrintArea" localSheetId="12" hidden="1">'ⅳ　市税内訳'!$A$1:$AC$79</definedName>
    <definedName name="Z_429188B7_F8E8_41E0_BAA6_8F869C883D4F_.wvu.PrintArea" localSheetId="13" hidden="1">'ⅴ　市税徴収率'!$A$1:$J$78</definedName>
    <definedName name="Z_429188B7_F8E8_41E0_BAA6_8F869C883D4F_.wvu.PrintArea" localSheetId="1" hidden="1">記入要領!$A$1:$C$53</definedName>
    <definedName name="Z_429188B7_F8E8_41E0_BAA6_8F869C883D4F_.wvu.PrintArea" localSheetId="14" hidden="1">中核市合併の変遷!$A$1:$D$89</definedName>
    <definedName name="Z_429188B7_F8E8_41E0_BAA6_8F869C883D4F_.wvu.PrintTitles" localSheetId="2" hidden="1">'１市　勢'!$A:$A</definedName>
    <definedName name="Z_429188B7_F8E8_41E0_BAA6_8F869C883D4F_.wvu.PrintTitles" localSheetId="4" hidden="1">'３保健・福祉'!$A:$A</definedName>
    <definedName name="Z_429188B7_F8E8_41E0_BAA6_8F869C883D4F_.wvu.PrintTitles" localSheetId="6" hidden="1">'５産　業'!$A:$A</definedName>
    <definedName name="Z_429188B7_F8E8_41E0_BAA6_8F869C883D4F_.wvu.PrintTitles" localSheetId="7" hidden="1">'６　都　市 '!$A:$A</definedName>
    <definedName name="Z_429188B7_F8E8_41E0_BAA6_8F869C883D4F_.wvu.PrintTitles" localSheetId="8" hidden="1">'7　施　設'!$A:$A</definedName>
    <definedName name="Z_429188B7_F8E8_41E0_BAA6_8F869C883D4F_.wvu.PrintTitles" localSheetId="9" hidden="1">'ⅰ　歳入・歳出総額'!$A:$A</definedName>
    <definedName name="Z_429188B7_F8E8_41E0_BAA6_8F869C883D4F_.wvu.PrintTitles" localSheetId="10" hidden="1">'ⅱ　歳入内訳（款別）'!$A:$A</definedName>
    <definedName name="Z_429188B7_F8E8_41E0_BAA6_8F869C883D4F_.wvu.PrintTitles" localSheetId="11" hidden="1">'ⅲ　目的別歳出内訳'!$A:$A</definedName>
    <definedName name="Z_429188B7_F8E8_41E0_BAA6_8F869C883D4F_.wvu.PrintTitles" localSheetId="12" hidden="1">'ⅳ　市税内訳'!$A:$A</definedName>
    <definedName name="Z_429188B7_F8E8_41E0_BAA6_8F869C883D4F_.wvu.PrintTitles" localSheetId="13" hidden="1">'ⅴ　市税徴収率'!$A:$A</definedName>
    <definedName name="Z_429188B7_F8E8_41E0_BAA6_8F869C883D4F_.wvu.PrintTitles" localSheetId="1" hidden="1">記入要領!$15:$15</definedName>
    <definedName name="Z_CFB8F6A3_286B_44DA_98E2_E06FA9DC17D9_.wvu.FilterData" localSheetId="4" hidden="1">'３保健・福祉'!$CD$2:$CN$74</definedName>
    <definedName name="Z_CFB8F6A3_286B_44DA_98E2_E06FA9DC17D9_.wvu.FilterData" localSheetId="5" hidden="1">'４環　境'!$A$7:$M$72</definedName>
    <definedName name="Z_CFB8F6A3_286B_44DA_98E2_E06FA9DC17D9_.wvu.FilterData" localSheetId="10" hidden="1">'ⅱ　歳入内訳（款別）'!$A$5:$BF$5</definedName>
    <definedName name="Z_CFB8F6A3_286B_44DA_98E2_E06FA9DC17D9_.wvu.FilterData" localSheetId="11" hidden="1">'ⅲ　目的別歳出内訳'!$A$1:$AE$5</definedName>
    <definedName name="Z_CFB8F6A3_286B_44DA_98E2_E06FA9DC17D9_.wvu.FilterData" localSheetId="12" hidden="1">'ⅳ　市税内訳'!$A$1:$AC$5</definedName>
    <definedName name="Z_CFB8F6A3_286B_44DA_98E2_E06FA9DC17D9_.wvu.PrintArea" localSheetId="2" hidden="1">'１市　勢'!$A$1:$AJ$75</definedName>
    <definedName name="Z_CFB8F6A3_286B_44DA_98E2_E06FA9DC17D9_.wvu.PrintArea" localSheetId="3" hidden="1">'２職員数及び職員給料等'!$A$1:$K$78</definedName>
    <definedName name="Z_CFB8F6A3_286B_44DA_98E2_E06FA9DC17D9_.wvu.PrintArea" localSheetId="4" hidden="1">'３保健・福祉'!$A$1:$CV$80,'３保健・福祉'!#REF!</definedName>
    <definedName name="Z_CFB8F6A3_286B_44DA_98E2_E06FA9DC17D9_.wvu.PrintArea" localSheetId="5" hidden="1">'４環　境'!$A$1:$N$78,'４環　境'!#REF!</definedName>
    <definedName name="Z_CFB8F6A3_286B_44DA_98E2_E06FA9DC17D9_.wvu.PrintArea" localSheetId="6" hidden="1">'５産　業'!$A$1:$X$73,'５産　業'!#REF!</definedName>
    <definedName name="Z_CFB8F6A3_286B_44DA_98E2_E06FA9DC17D9_.wvu.PrintArea" localSheetId="7" hidden="1">'６　都　市 '!$A$1:$AI$71</definedName>
    <definedName name="Z_CFB8F6A3_286B_44DA_98E2_E06FA9DC17D9_.wvu.PrintArea" localSheetId="8" hidden="1">'7　施　設'!$A$1:$DB$79</definedName>
    <definedName name="Z_CFB8F6A3_286B_44DA_98E2_E06FA9DC17D9_.wvu.PrintArea" localSheetId="9" hidden="1">'ⅰ　歳入・歳出総額'!$A$1:$Y$75</definedName>
    <definedName name="Z_CFB8F6A3_286B_44DA_98E2_E06FA9DC17D9_.wvu.PrintArea" localSheetId="10" hidden="1">'ⅱ　歳入内訳（款別）'!$A$1:$BF$75</definedName>
    <definedName name="Z_CFB8F6A3_286B_44DA_98E2_E06FA9DC17D9_.wvu.PrintArea" localSheetId="11" hidden="1">'ⅲ　目的別歳出内訳'!$A$1:$AE$75</definedName>
    <definedName name="Z_CFB8F6A3_286B_44DA_98E2_E06FA9DC17D9_.wvu.PrintArea" localSheetId="12" hidden="1">'ⅳ　市税内訳'!$A$1:$AC$75,'ⅳ　市税内訳'!#REF!</definedName>
    <definedName name="Z_CFB8F6A3_286B_44DA_98E2_E06FA9DC17D9_.wvu.PrintArea" localSheetId="13" hidden="1">'ⅴ　市税徴収率'!$A$1:$J$75,'ⅴ　市税徴収率'!#REF!</definedName>
    <definedName name="Z_CFB8F6A3_286B_44DA_98E2_E06FA9DC17D9_.wvu.PrintArea" localSheetId="1" hidden="1">記入要領!$A$1:$C$53</definedName>
    <definedName name="Z_CFB8F6A3_286B_44DA_98E2_E06FA9DC17D9_.wvu.PrintArea" localSheetId="14" hidden="1">中核市合併の変遷!$A$1:$D$88</definedName>
  </definedNames>
  <calcPr calcId="191028" iterate="1"/>
  <customWorkbookViews>
    <customWorkbookView name="奈良市役所 - 個人用ビュー" guid="{CFB8F6A3-286B-44DA-98E2-E06FA9DC17D9}" mergeInterval="0" personalView="1" xWindow="38" yWindow="20" windowWidth="1250" windowHeight="662" tabRatio="915" activeSheetId="2" showComments="commIndAndComment"/>
    <customWorkbookView name="PC03 - 個人用ビュー" guid="{429188B7-F8E8-41E0-BAA6-8F869C883D4F}" mergeInterval="0" personalView="1" maximized="1" xWindow="-8" yWindow="-8" windowWidth="1382" windowHeight="744" tabRatio="845" activeSheetId="1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63" i="7" l="1"/>
  <c r="S42" i="7" l="1"/>
  <c r="V62" i="3" l="1"/>
  <c r="V56" i="3"/>
  <c r="V34" i="3"/>
  <c r="AE12" i="3" l="1"/>
  <c r="R13" i="3"/>
  <c r="AX8" i="5"/>
  <c r="AV8" i="5"/>
  <c r="AT8" i="5"/>
  <c r="AR8" i="5"/>
  <c r="J26" i="7" l="1"/>
  <c r="E26" i="7" s="1"/>
  <c r="D26" i="7"/>
  <c r="H44" i="6" l="1"/>
  <c r="AD55" i="12" l="1"/>
  <c r="AE55" i="12"/>
  <c r="AD32" i="8" l="1"/>
  <c r="Z25" i="11" l="1"/>
  <c r="BE25" i="11" s="1"/>
  <c r="W25" i="11" s="1"/>
  <c r="AX25" i="11" l="1"/>
  <c r="AH25" i="11"/>
  <c r="U25" i="11"/>
  <c r="G25" i="11"/>
  <c r="BD25" i="11"/>
  <c r="AV25" i="11"/>
  <c r="AN25" i="11"/>
  <c r="AF25" i="11"/>
  <c r="S25" i="11"/>
  <c r="I25" i="11"/>
  <c r="AA25" i="11"/>
  <c r="AP25" i="11"/>
  <c r="BB25" i="11"/>
  <c r="AT25" i="11"/>
  <c r="AL25" i="11"/>
  <c r="O25" i="11"/>
  <c r="E25" i="11"/>
  <c r="AZ25" i="11"/>
  <c r="AR25" i="11"/>
  <c r="AJ25" i="11"/>
  <c r="Y25" i="11"/>
  <c r="M25" i="11"/>
  <c r="C25" i="11"/>
  <c r="K25" i="11"/>
  <c r="K25" i="7"/>
  <c r="I25" i="7"/>
  <c r="G25" i="7"/>
  <c r="BF25" i="11" l="1"/>
  <c r="AX50" i="5"/>
  <c r="AV50" i="5"/>
  <c r="AT50" i="5"/>
  <c r="AR50" i="5"/>
  <c r="L8" i="3" l="1"/>
  <c r="H8" i="3"/>
  <c r="AE9" i="3"/>
  <c r="AE10" i="3" l="1"/>
  <c r="L10" i="3"/>
  <c r="H10" i="3"/>
  <c r="L11" i="3" l="1"/>
  <c r="H11" i="3"/>
  <c r="L12" i="3" l="1"/>
  <c r="H12" i="3"/>
  <c r="AH13" i="3" l="1"/>
  <c r="AE13" i="3"/>
  <c r="L13" i="3"/>
  <c r="H13" i="3"/>
  <c r="L14" i="3" l="1"/>
  <c r="H14" i="3"/>
  <c r="L15" i="3" l="1"/>
  <c r="H15" i="3"/>
  <c r="L16" i="3" l="1"/>
  <c r="H16" i="3"/>
  <c r="L17" i="3" l="1"/>
  <c r="H17" i="3"/>
  <c r="L18" i="3" l="1"/>
  <c r="H18" i="3"/>
  <c r="L19" i="3" l="1"/>
  <c r="H19" i="3"/>
  <c r="L20" i="3" l="1"/>
  <c r="H20" i="3"/>
  <c r="BR68" i="9" l="1"/>
  <c r="BQ68" i="9"/>
  <c r="BP68" i="9"/>
  <c r="BO68" i="9"/>
  <c r="AS68" i="9"/>
  <c r="CT67" i="9" l="1"/>
  <c r="AD65" i="8" l="1"/>
  <c r="CT64" i="9" l="1"/>
  <c r="U64" i="9"/>
  <c r="T64" i="9"/>
  <c r="S64" i="9"/>
  <c r="R64" i="9"/>
  <c r="Q64" i="9"/>
  <c r="P64" i="9"/>
  <c r="O64" i="9"/>
  <c r="N64" i="9"/>
  <c r="M64" i="9"/>
  <c r="I64" i="9"/>
  <c r="G64" i="9"/>
  <c r="E64" i="9"/>
  <c r="AD63" i="8"/>
  <c r="AA60" i="13" l="1"/>
  <c r="Y60" i="13"/>
  <c r="W60" i="13"/>
  <c r="M60" i="13"/>
  <c r="K60" i="13"/>
  <c r="I60" i="13"/>
  <c r="G60" i="13"/>
  <c r="E60" i="13"/>
  <c r="C60" i="13"/>
  <c r="BF60" i="11"/>
  <c r="BE60" i="11"/>
  <c r="CT63" i="9"/>
  <c r="AV59" i="9" l="1"/>
  <c r="AS59" i="9"/>
  <c r="G59" i="9"/>
  <c r="AD58" i="8"/>
  <c r="V58" i="8"/>
  <c r="AC55" i="13"/>
  <c r="AB55" i="13"/>
  <c r="BF55" i="11"/>
  <c r="BE55" i="11"/>
  <c r="AD57" i="8"/>
  <c r="BP54" i="9" l="1"/>
  <c r="BO54" i="9"/>
  <c r="BI54" i="9"/>
  <c r="BH54" i="9"/>
  <c r="K50" i="10" l="1"/>
  <c r="D50" i="10"/>
  <c r="F50" i="10" s="1"/>
  <c r="AL53" i="9"/>
  <c r="AF53" i="9"/>
  <c r="G53" i="9"/>
  <c r="AD52" i="8"/>
  <c r="C52" i="8"/>
  <c r="K48" i="10" l="1"/>
  <c r="D48" i="10"/>
  <c r="F48" i="10" s="1"/>
  <c r="AV45" i="9" l="1"/>
  <c r="AD44" i="8"/>
  <c r="BP43" i="9" l="1"/>
  <c r="BO43" i="9"/>
  <c r="AD42" i="8"/>
  <c r="AC42" i="8"/>
  <c r="V41" i="8" l="1"/>
  <c r="AC37" i="13" l="1"/>
  <c r="AA37" i="13"/>
  <c r="Y37" i="13"/>
  <c r="W37" i="13"/>
  <c r="M37" i="13"/>
  <c r="K37" i="13"/>
  <c r="I37" i="13"/>
  <c r="G37" i="13"/>
  <c r="E37" i="13"/>
  <c r="C37" i="13"/>
  <c r="AA37" i="12"/>
  <c r="Y37" i="12"/>
  <c r="W37" i="12"/>
  <c r="U37" i="12"/>
  <c r="S37" i="12"/>
  <c r="Q37" i="12"/>
  <c r="O37" i="12"/>
  <c r="M37" i="12"/>
  <c r="K37" i="12"/>
  <c r="I37" i="12"/>
  <c r="G37" i="12"/>
  <c r="E37" i="12"/>
  <c r="C37" i="12"/>
  <c r="AM40" i="9"/>
  <c r="AL40" i="9"/>
  <c r="AD39" i="8"/>
  <c r="AV34" i="9" l="1"/>
  <c r="AD33" i="8"/>
  <c r="C33" i="8"/>
  <c r="B33" i="8"/>
  <c r="D29" i="10" l="1"/>
  <c r="F29" i="10" s="1"/>
  <c r="AE28" i="12" l="1"/>
  <c r="Y28" i="12"/>
  <c r="W28" i="12"/>
  <c r="U28" i="12"/>
  <c r="S28" i="12"/>
  <c r="Q28" i="12"/>
  <c r="O28" i="12"/>
  <c r="M28" i="12"/>
  <c r="K28" i="12"/>
  <c r="I28" i="12"/>
  <c r="G28" i="12"/>
  <c r="E28" i="12"/>
  <c r="C28" i="12"/>
  <c r="AC28" i="13"/>
  <c r="Y28" i="13"/>
  <c r="W28" i="13"/>
  <c r="M28" i="13"/>
  <c r="K28" i="13"/>
  <c r="I28" i="13"/>
  <c r="G28" i="13"/>
  <c r="E28" i="13"/>
  <c r="C28" i="13"/>
  <c r="BF28" i="11"/>
  <c r="BD28" i="11"/>
  <c r="BB28" i="11"/>
  <c r="AZ28" i="11"/>
  <c r="AX28" i="11"/>
  <c r="AV28" i="11"/>
  <c r="AT28" i="11"/>
  <c r="AR28" i="11"/>
  <c r="AP28" i="11"/>
  <c r="AN28" i="11"/>
  <c r="AL28" i="11"/>
  <c r="AJ28" i="11"/>
  <c r="AH28" i="11"/>
  <c r="AF28" i="11"/>
  <c r="AA28" i="11"/>
  <c r="Y28" i="11"/>
  <c r="W28" i="11"/>
  <c r="U28" i="11"/>
  <c r="S28" i="11"/>
  <c r="O28" i="11"/>
  <c r="M28" i="11"/>
  <c r="K28" i="11"/>
  <c r="I28" i="11"/>
  <c r="G28" i="11"/>
  <c r="E28" i="11"/>
  <c r="C28" i="11"/>
  <c r="AC30" i="8"/>
  <c r="AD25" i="12" l="1"/>
  <c r="K25" i="10"/>
  <c r="D25" i="10"/>
  <c r="F25" i="10" s="1"/>
  <c r="V27" i="8"/>
  <c r="Y25" i="12" l="1"/>
  <c r="W25" i="12"/>
  <c r="U25" i="12"/>
  <c r="S25" i="12"/>
  <c r="Q25" i="12"/>
  <c r="O25" i="12"/>
  <c r="M25" i="12"/>
  <c r="K25" i="12"/>
  <c r="I25" i="12"/>
  <c r="G25" i="12"/>
  <c r="E25" i="12"/>
  <c r="C25" i="12"/>
  <c r="AE25" i="12" s="1"/>
  <c r="AS27" i="9"/>
  <c r="AD26" i="8"/>
  <c r="O26" i="8"/>
  <c r="M26" i="8"/>
  <c r="AU26" i="9" l="1"/>
  <c r="AS26" i="9"/>
  <c r="AD25" i="8"/>
  <c r="C20" i="8" l="1"/>
  <c r="B20" i="8"/>
  <c r="AD12" i="8" l="1"/>
  <c r="K8" i="10" l="1"/>
  <c r="D8" i="10"/>
  <c r="F8" i="10" s="1"/>
  <c r="V10" i="8"/>
  <c r="U10" i="8"/>
  <c r="S10" i="8"/>
  <c r="BT10" i="9" l="1"/>
  <c r="BR10" i="9"/>
  <c r="BQ10" i="9"/>
  <c r="BP10" i="9"/>
  <c r="BO10" i="9"/>
  <c r="BN10" i="9"/>
  <c r="BM10" i="9"/>
  <c r="BL10" i="9"/>
  <c r="BI10" i="9"/>
  <c r="BH10" i="9"/>
  <c r="BF10" i="9"/>
  <c r="AB6" i="13" l="1"/>
  <c r="AC6" i="13" s="1"/>
  <c r="AA6" i="13"/>
  <c r="Y6" i="13"/>
  <c r="W6" i="13"/>
  <c r="M6" i="13"/>
  <c r="K6" i="13"/>
  <c r="I6" i="13"/>
  <c r="G6" i="13"/>
  <c r="E6" i="13"/>
  <c r="C6" i="13"/>
  <c r="AE6" i="12"/>
  <c r="AD6" i="12"/>
  <c r="BF6" i="11"/>
  <c r="BE6" i="11"/>
  <c r="AD8" i="8"/>
  <c r="U63" i="7" l="1"/>
  <c r="Q63" i="7"/>
  <c r="E63" i="7"/>
  <c r="I63" i="7" s="1"/>
  <c r="K63" i="7" l="1"/>
  <c r="G63" i="7"/>
  <c r="U52" i="7" l="1"/>
  <c r="Q52" i="7"/>
  <c r="E52" i="7"/>
  <c r="U50" i="7" l="1"/>
  <c r="Q50" i="7"/>
  <c r="E50" i="7"/>
  <c r="G50" i="7" s="1"/>
  <c r="I50" i="7" l="1"/>
  <c r="K50" i="7"/>
  <c r="U49" i="7" l="1"/>
  <c r="S49" i="7"/>
  <c r="K49" i="7"/>
  <c r="I49" i="7"/>
  <c r="G49" i="7"/>
  <c r="K42" i="7" l="1"/>
  <c r="I42" i="7"/>
  <c r="G42" i="7"/>
  <c r="U40" i="7" l="1"/>
  <c r="K40" i="7"/>
  <c r="I40" i="7"/>
  <c r="G40" i="7"/>
  <c r="U32" i="7" l="1"/>
  <c r="S32" i="7"/>
  <c r="Q32" i="7"/>
  <c r="E32" i="7"/>
  <c r="I32" i="7" l="1"/>
  <c r="K32" i="7"/>
  <c r="G32" i="7"/>
  <c r="U30" i="7" l="1"/>
  <c r="Q30" i="7"/>
  <c r="E30" i="7"/>
  <c r="G30" i="7" l="1"/>
  <c r="K30" i="7"/>
  <c r="I30" i="7"/>
  <c r="S26" i="7"/>
  <c r="Q25" i="7" l="1"/>
  <c r="U22" i="7" l="1"/>
  <c r="S22" i="7"/>
  <c r="Q22" i="7"/>
  <c r="K22" i="7"/>
  <c r="I22" i="7"/>
  <c r="G22" i="7"/>
  <c r="U13" i="7" l="1"/>
  <c r="S13" i="7"/>
  <c r="Q13" i="7"/>
  <c r="E13" i="7"/>
  <c r="I13" i="7" s="1"/>
  <c r="K13" i="7" l="1"/>
  <c r="G13" i="7"/>
  <c r="U10" i="7" l="1"/>
  <c r="S10" i="7"/>
  <c r="Q10" i="7"/>
  <c r="E10" i="7"/>
  <c r="I10" i="7" l="1"/>
  <c r="K10" i="7"/>
  <c r="G10" i="7"/>
  <c r="P66" i="5" l="1"/>
  <c r="AU57" i="5" l="1"/>
  <c r="AS57" i="5"/>
  <c r="AL53" i="5" l="1"/>
  <c r="AK53" i="5"/>
  <c r="AI53" i="5"/>
  <c r="AM52" i="5" l="1"/>
  <c r="AL52" i="5"/>
  <c r="AK52" i="5"/>
  <c r="AI52" i="5"/>
  <c r="AL49" i="5" l="1"/>
  <c r="AK49" i="5"/>
  <c r="AI49" i="5"/>
  <c r="D41" i="5" l="1"/>
  <c r="B41" i="5"/>
  <c r="CP34" i="5" l="1"/>
  <c r="CN34" i="5"/>
  <c r="CL34" i="5"/>
  <c r="CH34" i="5"/>
  <c r="AW33" i="5" l="1"/>
  <c r="AX33" i="5" s="1"/>
  <c r="AV33" i="5"/>
  <c r="AT33" i="5"/>
  <c r="AR33" i="5"/>
  <c r="AK19" i="5" l="1"/>
  <c r="AI19" i="5"/>
  <c r="BX13" i="5" l="1"/>
  <c r="BS13" i="5"/>
  <c r="BR13" i="5"/>
  <c r="BQ13" i="5"/>
  <c r="BB13" i="5"/>
  <c r="F53" i="6" l="1"/>
  <c r="B53" i="6"/>
  <c r="F50" i="6" l="1"/>
  <c r="D50" i="6"/>
  <c r="C50" i="6"/>
  <c r="E63" i="4" l="1"/>
  <c r="C63" i="4"/>
  <c r="C58" i="4" l="1"/>
  <c r="E50" i="4" l="1"/>
  <c r="K41" i="4" l="1"/>
  <c r="J41" i="4"/>
  <c r="E41" i="4"/>
  <c r="C41" i="4"/>
  <c r="E19" i="4" l="1"/>
  <c r="C19" i="4"/>
  <c r="L68" i="3" l="1"/>
  <c r="H68" i="3"/>
  <c r="L67" i="3" l="1"/>
  <c r="L66" i="3" l="1"/>
  <c r="H66" i="3"/>
  <c r="L65" i="3"/>
  <c r="H65" i="3"/>
  <c r="L64" i="3" l="1"/>
  <c r="H64" i="3"/>
  <c r="H63" i="3"/>
  <c r="L63" i="3"/>
  <c r="AE63" i="3"/>
  <c r="W62" i="3" l="1"/>
  <c r="L62" i="3"/>
  <c r="H62" i="3"/>
  <c r="AE61" i="3"/>
  <c r="L60" i="3" l="1"/>
  <c r="H60" i="3"/>
  <c r="L58" i="3" l="1"/>
  <c r="H58" i="3"/>
  <c r="AE57" i="3"/>
  <c r="S57" i="3"/>
  <c r="R57" i="3"/>
  <c r="L57" i="3"/>
  <c r="H57" i="3"/>
  <c r="W56" i="3" l="1"/>
  <c r="L56" i="3"/>
  <c r="H56" i="3"/>
  <c r="L55" i="3" l="1"/>
  <c r="H55" i="3"/>
  <c r="L53" i="3" l="1"/>
  <c r="H53" i="3"/>
  <c r="AE52" i="3" l="1"/>
  <c r="L52" i="3"/>
  <c r="H52" i="3"/>
  <c r="D52" i="3"/>
  <c r="L51" i="3" l="1"/>
  <c r="AE50" i="3"/>
  <c r="L50" i="3"/>
  <c r="H50" i="3"/>
  <c r="L49" i="3" l="1"/>
  <c r="H49" i="3"/>
  <c r="L48" i="3" l="1"/>
  <c r="H48" i="3"/>
  <c r="L47" i="3" l="1"/>
  <c r="H47" i="3"/>
  <c r="L46" i="3" l="1"/>
  <c r="L45" i="3" l="1"/>
  <c r="H45" i="3"/>
  <c r="L44" i="3" l="1"/>
  <c r="H44" i="3"/>
  <c r="L43" i="3" l="1"/>
  <c r="H43" i="3"/>
  <c r="L42" i="3" l="1"/>
  <c r="H42" i="3"/>
  <c r="L40" i="3" l="1"/>
  <c r="H40" i="3"/>
  <c r="L39" i="3" l="1"/>
  <c r="H39" i="3"/>
  <c r="L37" i="3" l="1"/>
  <c r="H37" i="3"/>
  <c r="L35" i="3" l="1"/>
  <c r="H35" i="3"/>
  <c r="W34" i="3" l="1"/>
  <c r="L34" i="3"/>
  <c r="H34" i="3"/>
  <c r="AE33" i="3" l="1"/>
  <c r="L33" i="3"/>
  <c r="H33" i="3"/>
  <c r="AH32" i="3" l="1"/>
  <c r="AE32" i="3"/>
  <c r="R32" i="3"/>
  <c r="P32" i="3"/>
  <c r="L32" i="3"/>
  <c r="H32" i="3"/>
  <c r="G32" i="3"/>
  <c r="F32" i="3"/>
  <c r="E32" i="3"/>
  <c r="AE30" i="3" l="1"/>
  <c r="W30" i="3"/>
  <c r="V30" i="3"/>
  <c r="L30" i="3"/>
  <c r="H30" i="3"/>
  <c r="L27" i="3" l="1"/>
  <c r="H27" i="3"/>
  <c r="L26" i="3" l="1"/>
  <c r="H26" i="3"/>
  <c r="L25" i="3" l="1"/>
  <c r="H25" i="3"/>
  <c r="AU71" i="9" l="1"/>
  <c r="AU70" i="9"/>
  <c r="AV70" i="9"/>
  <c r="AV71" i="9"/>
  <c r="CS70" i="5"/>
  <c r="CS69" i="5"/>
  <c r="CU69" i="5"/>
  <c r="CU70" i="5"/>
  <c r="CP70" i="5"/>
  <c r="CO70" i="5"/>
  <c r="CP69" i="5"/>
  <c r="CO69" i="5"/>
  <c r="Z70" i="8"/>
  <c r="D70" i="3" l="1"/>
  <c r="AX70" i="5" l="1"/>
  <c r="AV70" i="5"/>
  <c r="AT70" i="5"/>
  <c r="AR70" i="5"/>
  <c r="S70" i="3"/>
  <c r="X70" i="3"/>
  <c r="W70" i="3"/>
  <c r="V70" i="3"/>
  <c r="CE71" i="9" l="1"/>
  <c r="CD71" i="9"/>
  <c r="CC71" i="9"/>
  <c r="BY71" i="9"/>
  <c r="BX71" i="9"/>
  <c r="BW71" i="9"/>
  <c r="BN71" i="9" l="1"/>
  <c r="BK71" i="9"/>
  <c r="AM71" i="9" l="1"/>
  <c r="AG71" i="9"/>
  <c r="H71" i="9"/>
  <c r="F71" i="9"/>
  <c r="X70" i="8" l="1"/>
  <c r="W70" i="8"/>
  <c r="Y70" i="8"/>
  <c r="V70" i="8"/>
  <c r="U70" i="8"/>
  <c r="T70" i="8"/>
  <c r="CX69" i="5" l="1"/>
  <c r="CW69" i="5"/>
  <c r="CV69" i="5"/>
  <c r="CT69" i="5"/>
  <c r="CR69" i="5"/>
  <c r="W68" i="11" l="1"/>
  <c r="V68" i="11"/>
  <c r="V67" i="11"/>
  <c r="S68" i="11"/>
  <c r="R68" i="11"/>
  <c r="R67" i="11"/>
  <c r="CR70" i="5"/>
  <c r="CQ71" i="9"/>
  <c r="CQ70" i="9"/>
  <c r="CP71" i="9"/>
  <c r="CP70" i="9"/>
  <c r="AW70" i="5"/>
  <c r="AW69" i="5"/>
  <c r="CA70" i="5"/>
  <c r="CA69" i="5"/>
  <c r="CO71" i="9"/>
  <c r="CO70" i="9"/>
  <c r="T69" i="7"/>
  <c r="U69" i="7"/>
  <c r="T70" i="7"/>
  <c r="U70" i="7"/>
  <c r="I68" i="13"/>
  <c r="H68" i="13"/>
  <c r="H67" i="13"/>
  <c r="G70" i="7"/>
  <c r="K70" i="7"/>
  <c r="Q69" i="7"/>
  <c r="K70" i="5"/>
  <c r="AG69" i="3"/>
  <c r="AE70" i="3"/>
  <c r="Y70" i="3"/>
  <c r="U70" i="3"/>
  <c r="Z70" i="3"/>
  <c r="Y69" i="3"/>
  <c r="T69" i="3"/>
  <c r="T70" i="3"/>
  <c r="B69" i="3"/>
  <c r="B70" i="3"/>
  <c r="K70" i="3"/>
  <c r="B69" i="4"/>
  <c r="J69" i="3"/>
  <c r="I69" i="3"/>
  <c r="C69" i="3"/>
  <c r="AJ70" i="3"/>
  <c r="AJ69" i="3"/>
  <c r="AI70" i="3"/>
  <c r="AI69" i="3"/>
  <c r="AG70" i="3"/>
  <c r="AF70" i="3"/>
  <c r="AF69" i="3"/>
  <c r="X69" i="3"/>
  <c r="U69" i="3"/>
  <c r="Q69" i="3"/>
  <c r="Q70" i="3"/>
  <c r="O69" i="3"/>
  <c r="N69" i="3"/>
  <c r="M69" i="3"/>
  <c r="T68" i="10"/>
  <c r="AF69" i="8"/>
  <c r="AF70" i="8"/>
  <c r="BX70" i="5"/>
  <c r="BF69" i="5"/>
  <c r="BE69" i="5"/>
  <c r="B69" i="7"/>
  <c r="B70" i="7"/>
  <c r="AH70" i="3"/>
  <c r="BW69" i="5"/>
  <c r="BT71" i="9"/>
  <c r="Z69" i="3"/>
  <c r="E69" i="6"/>
  <c r="AD70" i="5"/>
  <c r="AC70" i="8"/>
  <c r="AC69" i="8"/>
  <c r="AA68" i="13"/>
  <c r="W68" i="13"/>
  <c r="U68" i="13"/>
  <c r="Q68" i="13"/>
  <c r="G68" i="13"/>
  <c r="F69" i="8"/>
  <c r="D68" i="13"/>
  <c r="AB67" i="13"/>
  <c r="Z68" i="11"/>
  <c r="BI70" i="9"/>
  <c r="I70" i="9"/>
  <c r="B69" i="8"/>
  <c r="P70" i="5"/>
  <c r="K68" i="10"/>
  <c r="B67" i="11"/>
  <c r="B68" i="11"/>
  <c r="AD69" i="8"/>
  <c r="BR69" i="5"/>
  <c r="BP70" i="5"/>
  <c r="M68" i="13"/>
  <c r="K68" i="13"/>
  <c r="C68" i="13"/>
  <c r="AS71" i="9"/>
  <c r="B69" i="5"/>
  <c r="D69" i="5"/>
  <c r="B70" i="5"/>
  <c r="C70" i="5"/>
  <c r="D70" i="5"/>
  <c r="AL69" i="5"/>
  <c r="AK70" i="5"/>
  <c r="U71" i="9"/>
  <c r="N71" i="9"/>
  <c r="CF69" i="5"/>
  <c r="CT71" i="9"/>
  <c r="E70" i="8"/>
  <c r="E69" i="8"/>
  <c r="D70" i="8"/>
  <c r="B70" i="8"/>
  <c r="BR70" i="9"/>
  <c r="BQ70" i="9"/>
  <c r="BP70" i="9"/>
  <c r="BO71" i="9"/>
  <c r="BO70" i="9"/>
  <c r="AI70" i="5"/>
  <c r="AD67" i="12"/>
  <c r="BE68" i="11"/>
  <c r="CL69" i="5"/>
  <c r="CH69" i="5"/>
  <c r="E70" i="4"/>
  <c r="C70" i="4"/>
  <c r="P70" i="3"/>
  <c r="G70" i="3"/>
  <c r="F70" i="3"/>
  <c r="E70" i="3"/>
  <c r="L70" i="3"/>
  <c r="B70" i="9"/>
  <c r="C70" i="9"/>
  <c r="D70" i="9"/>
  <c r="E70" i="9"/>
  <c r="F70" i="9"/>
  <c r="G70" i="9"/>
  <c r="H70" i="9"/>
  <c r="J70" i="9"/>
  <c r="K70" i="9"/>
  <c r="L70" i="9"/>
  <c r="B71" i="9"/>
  <c r="C71" i="9"/>
  <c r="D71" i="9"/>
  <c r="E71" i="9"/>
  <c r="G71" i="9"/>
  <c r="I71" i="9"/>
  <c r="J71" i="9"/>
  <c r="K71" i="9"/>
  <c r="L71" i="9"/>
  <c r="AU69" i="5"/>
  <c r="AQ70" i="5"/>
  <c r="V69" i="8"/>
  <c r="CT70" i="5"/>
  <c r="CY71" i="9"/>
  <c r="CY70" i="9"/>
  <c r="Z68" i="10"/>
  <c r="Z67" i="10"/>
  <c r="E70" i="6"/>
  <c r="CX70" i="5"/>
  <c r="B70" i="4"/>
  <c r="N70" i="3"/>
  <c r="O70" i="3"/>
  <c r="R70" i="3"/>
  <c r="M70" i="3"/>
  <c r="J70" i="3"/>
  <c r="I70" i="3"/>
  <c r="C70" i="3"/>
  <c r="CE69" i="5"/>
  <c r="CG69" i="5"/>
  <c r="CJ69" i="5"/>
  <c r="CK69" i="5"/>
  <c r="CM69" i="5"/>
  <c r="CD69" i="5"/>
  <c r="AY69" i="5"/>
  <c r="AZ69" i="5"/>
  <c r="BA69" i="5"/>
  <c r="BB69" i="5"/>
  <c r="BC69" i="5"/>
  <c r="BD69" i="5"/>
  <c r="BG69" i="5"/>
  <c r="BH69" i="5"/>
  <c r="BI69" i="5"/>
  <c r="BJ69" i="5"/>
  <c r="BK69" i="5"/>
  <c r="BL69" i="5"/>
  <c r="BM69" i="5"/>
  <c r="BN69" i="5"/>
  <c r="BO69" i="5"/>
  <c r="BQ69" i="5"/>
  <c r="BS69" i="5"/>
  <c r="BT69" i="5"/>
  <c r="BU69" i="5"/>
  <c r="BV69" i="5"/>
  <c r="BX69" i="5"/>
  <c r="BY69" i="5"/>
  <c r="BZ69" i="5"/>
  <c r="CB69" i="5"/>
  <c r="AJ69" i="5"/>
  <c r="AH69" i="5"/>
  <c r="AF69" i="5"/>
  <c r="AC69" i="5"/>
  <c r="AB69" i="5"/>
  <c r="G69" i="5"/>
  <c r="H69" i="5"/>
  <c r="I69" i="5"/>
  <c r="J69" i="5"/>
  <c r="K69" i="5"/>
  <c r="L69" i="5"/>
  <c r="M69" i="5"/>
  <c r="N69" i="5"/>
  <c r="O69" i="5"/>
  <c r="P69" i="5"/>
  <c r="Q69" i="5"/>
  <c r="R69" i="5"/>
  <c r="S69" i="5"/>
  <c r="T69" i="5"/>
  <c r="U69" i="5"/>
  <c r="V69" i="5"/>
  <c r="W69" i="5"/>
  <c r="X69" i="5"/>
  <c r="Y69" i="5"/>
  <c r="Z69" i="5"/>
  <c r="F69" i="5"/>
  <c r="M70" i="6"/>
  <c r="K70" i="6"/>
  <c r="U70" i="9"/>
  <c r="R70" i="9"/>
  <c r="L70" i="8"/>
  <c r="I69" i="6"/>
  <c r="H70" i="6"/>
  <c r="H69" i="6"/>
  <c r="AS69" i="5"/>
  <c r="AQ69" i="5"/>
  <c r="AH70" i="5"/>
  <c r="B68" i="13"/>
  <c r="Q70" i="7"/>
  <c r="C68" i="14"/>
  <c r="B68" i="14"/>
  <c r="CI69" i="5"/>
  <c r="I70" i="7"/>
  <c r="M70" i="9"/>
  <c r="O70" i="9"/>
  <c r="P70" i="9"/>
  <c r="Q70" i="9"/>
  <c r="S70" i="9"/>
  <c r="T70" i="9"/>
  <c r="V70" i="9"/>
  <c r="W70" i="9"/>
  <c r="X70" i="9"/>
  <c r="Y70" i="9"/>
  <c r="Z70" i="9"/>
  <c r="AA70" i="9"/>
  <c r="AB70" i="9"/>
  <c r="AC70" i="9"/>
  <c r="AD70" i="9"/>
  <c r="AE70" i="9"/>
  <c r="AF70" i="9"/>
  <c r="AG70" i="9"/>
  <c r="AH70" i="9"/>
  <c r="AI70" i="9"/>
  <c r="AJ70" i="9"/>
  <c r="AK70" i="9"/>
  <c r="AL70" i="9"/>
  <c r="AM70" i="9"/>
  <c r="AN70" i="9"/>
  <c r="AO70" i="9"/>
  <c r="AP70" i="9"/>
  <c r="AQ70" i="9"/>
  <c r="AR70" i="9"/>
  <c r="AT70" i="9"/>
  <c r="AW70" i="9"/>
  <c r="AX70" i="9"/>
  <c r="AY70" i="9"/>
  <c r="AZ70" i="9"/>
  <c r="BA70" i="9"/>
  <c r="BB70" i="9"/>
  <c r="BC70" i="9"/>
  <c r="BD70" i="9"/>
  <c r="BE70" i="9"/>
  <c r="BF70" i="9"/>
  <c r="BH70" i="9"/>
  <c r="BJ70" i="9"/>
  <c r="BK70" i="9"/>
  <c r="BL70" i="9"/>
  <c r="BM70" i="9"/>
  <c r="BN70" i="9"/>
  <c r="BT70" i="9"/>
  <c r="BU70" i="9"/>
  <c r="BW70" i="9"/>
  <c r="BX70" i="9"/>
  <c r="BY70" i="9"/>
  <c r="BZ70" i="9"/>
  <c r="CA70" i="9"/>
  <c r="CB70" i="9"/>
  <c r="CC70" i="9"/>
  <c r="CD70" i="9"/>
  <c r="CE70" i="9"/>
  <c r="CG70" i="9"/>
  <c r="CH70" i="9"/>
  <c r="CI70" i="9"/>
  <c r="CJ70" i="9"/>
  <c r="CK70" i="9"/>
  <c r="CL70" i="9"/>
  <c r="CM70" i="9"/>
  <c r="CN70" i="9"/>
  <c r="CR70" i="9"/>
  <c r="CU70" i="9"/>
  <c r="CV70" i="9"/>
  <c r="CW70" i="9"/>
  <c r="CX70" i="9"/>
  <c r="CZ70" i="9"/>
  <c r="DA70" i="9"/>
  <c r="DB70" i="9"/>
  <c r="M71" i="9"/>
  <c r="O71" i="9"/>
  <c r="P71" i="9"/>
  <c r="Q71" i="9"/>
  <c r="S71" i="9"/>
  <c r="T71" i="9"/>
  <c r="V71" i="9"/>
  <c r="W71" i="9"/>
  <c r="X71" i="9"/>
  <c r="Y71" i="9"/>
  <c r="Z71" i="9"/>
  <c r="AA71" i="9"/>
  <c r="AB71" i="9"/>
  <c r="AC71" i="9"/>
  <c r="AD71" i="9"/>
  <c r="AE71" i="9"/>
  <c r="AF71" i="9"/>
  <c r="AH71" i="9"/>
  <c r="AI71" i="9"/>
  <c r="AJ71" i="9"/>
  <c r="AK71" i="9"/>
  <c r="AL71" i="9"/>
  <c r="AN71" i="9"/>
  <c r="AO71" i="9"/>
  <c r="AP71" i="9"/>
  <c r="AQ71" i="9"/>
  <c r="AR71" i="9"/>
  <c r="AT71" i="9"/>
  <c r="AW71" i="9"/>
  <c r="AX71" i="9"/>
  <c r="AY71" i="9"/>
  <c r="AZ71" i="9"/>
  <c r="BA71" i="9"/>
  <c r="BB71" i="9"/>
  <c r="BC71" i="9"/>
  <c r="BD71" i="9"/>
  <c r="BE71" i="9"/>
  <c r="BF71" i="9"/>
  <c r="BH71" i="9"/>
  <c r="BI71" i="9"/>
  <c r="BJ71" i="9"/>
  <c r="BL71" i="9"/>
  <c r="BM71" i="9"/>
  <c r="BP71" i="9"/>
  <c r="BU71" i="9"/>
  <c r="BZ71" i="9"/>
  <c r="CA71" i="9"/>
  <c r="CB71" i="9"/>
  <c r="CG71" i="9"/>
  <c r="CH71" i="9"/>
  <c r="CI71" i="9"/>
  <c r="CJ71" i="9"/>
  <c r="CK71" i="9"/>
  <c r="CL71" i="9"/>
  <c r="CM71" i="9"/>
  <c r="CN71" i="9"/>
  <c r="CR71" i="9"/>
  <c r="CU71" i="9"/>
  <c r="CV71" i="9"/>
  <c r="CW71" i="9"/>
  <c r="CX71" i="9"/>
  <c r="CZ71" i="9"/>
  <c r="DA71" i="9"/>
  <c r="DB71" i="9"/>
  <c r="K70" i="8"/>
  <c r="AK70" i="8"/>
  <c r="AJ70" i="8"/>
  <c r="AI70" i="8"/>
  <c r="AH70" i="8"/>
  <c r="AG70" i="8"/>
  <c r="O70" i="5"/>
  <c r="N70" i="5"/>
  <c r="M70" i="5"/>
  <c r="L70" i="5"/>
  <c r="CK70" i="5"/>
  <c r="CJ70" i="5"/>
  <c r="CI70" i="5"/>
  <c r="CG70" i="5"/>
  <c r="CE70" i="5"/>
  <c r="CB70" i="5"/>
  <c r="BZ70" i="5"/>
  <c r="BY70" i="5"/>
  <c r="BV70" i="5"/>
  <c r="BU70" i="5"/>
  <c r="BT70" i="5"/>
  <c r="BS70" i="5"/>
  <c r="BR70" i="5"/>
  <c r="BQ70" i="5"/>
  <c r="BO70" i="5"/>
  <c r="BN70" i="5"/>
  <c r="BM70" i="5"/>
  <c r="BL70" i="5"/>
  <c r="BK70" i="5"/>
  <c r="BJ70" i="5"/>
  <c r="BI70" i="5"/>
  <c r="BC70" i="5"/>
  <c r="BB70" i="5"/>
  <c r="BA70" i="5"/>
  <c r="AZ70" i="5"/>
  <c r="AY70" i="5"/>
  <c r="Z70" i="5"/>
  <c r="Y70" i="5"/>
  <c r="X70" i="5"/>
  <c r="W70" i="5"/>
  <c r="V70" i="5"/>
  <c r="U70" i="5"/>
  <c r="S70" i="5"/>
  <c r="R70" i="5"/>
  <c r="Q70" i="5"/>
  <c r="G70" i="6"/>
  <c r="V68" i="13"/>
  <c r="X68" i="10"/>
  <c r="Z68" i="13"/>
  <c r="X68" i="13"/>
  <c r="T68" i="13"/>
  <c r="T67" i="13"/>
  <c r="P68" i="13"/>
  <c r="J68" i="10"/>
  <c r="I68" i="10"/>
  <c r="AP68" i="11"/>
  <c r="AO68" i="11"/>
  <c r="AN68" i="11"/>
  <c r="AM68" i="11"/>
  <c r="AL68" i="11"/>
  <c r="AK68" i="11"/>
  <c r="AJ68" i="11"/>
  <c r="AH68" i="11"/>
  <c r="AG68" i="11"/>
  <c r="AF68" i="11"/>
  <c r="AE68" i="11"/>
  <c r="AD68" i="11"/>
  <c r="AC68" i="11"/>
  <c r="AB68" i="11"/>
  <c r="AA68" i="11"/>
  <c r="Y68" i="11"/>
  <c r="X68" i="11"/>
  <c r="U68" i="11"/>
  <c r="T68" i="11"/>
  <c r="Q68" i="11"/>
  <c r="P68" i="11"/>
  <c r="O68" i="11"/>
  <c r="N68" i="11"/>
  <c r="AA68" i="12"/>
  <c r="Z68" i="12"/>
  <c r="Y68" i="12"/>
  <c r="X68" i="12"/>
  <c r="W68" i="12"/>
  <c r="V68" i="12"/>
  <c r="AJ69" i="8"/>
  <c r="AK69" i="8"/>
  <c r="CW70" i="5"/>
  <c r="J70" i="5"/>
  <c r="D68" i="14"/>
  <c r="E68" i="14"/>
  <c r="F68" i="14"/>
  <c r="G68" i="14"/>
  <c r="H68" i="14"/>
  <c r="I68" i="14"/>
  <c r="J68" i="14"/>
  <c r="F68" i="13"/>
  <c r="J68" i="13"/>
  <c r="L68" i="13"/>
  <c r="F67" i="13"/>
  <c r="J67" i="13"/>
  <c r="L67" i="13"/>
  <c r="P67" i="13"/>
  <c r="X67" i="13"/>
  <c r="Z67" i="13"/>
  <c r="S68" i="12"/>
  <c r="T68" i="12"/>
  <c r="U68" i="12"/>
  <c r="T67" i="12"/>
  <c r="V67" i="12"/>
  <c r="X67" i="12"/>
  <c r="Z67" i="12"/>
  <c r="R68" i="12"/>
  <c r="R67" i="12"/>
  <c r="C68" i="12"/>
  <c r="D68" i="12"/>
  <c r="E68" i="12"/>
  <c r="F68" i="12"/>
  <c r="G68" i="12"/>
  <c r="H68" i="12"/>
  <c r="I68" i="12"/>
  <c r="J68" i="12"/>
  <c r="K68" i="12"/>
  <c r="L68" i="12"/>
  <c r="M68" i="12"/>
  <c r="N68" i="12"/>
  <c r="O68" i="12"/>
  <c r="P68" i="12"/>
  <c r="Q68" i="12"/>
  <c r="D67" i="12"/>
  <c r="F67" i="12"/>
  <c r="H67" i="12"/>
  <c r="J67" i="12"/>
  <c r="L67" i="12"/>
  <c r="N67" i="12"/>
  <c r="P67" i="12"/>
  <c r="B68" i="12"/>
  <c r="B67" i="12"/>
  <c r="AR68" i="11"/>
  <c r="AS68" i="11"/>
  <c r="AT68" i="11"/>
  <c r="AU68" i="11"/>
  <c r="AV68" i="11"/>
  <c r="AW68" i="11"/>
  <c r="AX68" i="11"/>
  <c r="AY68" i="11"/>
  <c r="AZ68" i="11"/>
  <c r="BA68" i="11"/>
  <c r="BB68" i="11"/>
  <c r="BC68" i="11"/>
  <c r="BD68" i="11"/>
  <c r="AS67" i="11"/>
  <c r="AU67" i="11"/>
  <c r="AW67" i="11"/>
  <c r="AY67" i="11"/>
  <c r="BA67" i="11"/>
  <c r="BC67" i="11"/>
  <c r="AQ68" i="11"/>
  <c r="AQ67" i="11"/>
  <c r="AI68" i="11"/>
  <c r="AB67" i="11"/>
  <c r="AC67" i="11"/>
  <c r="AD67" i="11"/>
  <c r="AE67" i="11"/>
  <c r="AG67" i="11"/>
  <c r="AI67" i="11"/>
  <c r="AK67" i="11"/>
  <c r="AM67" i="11"/>
  <c r="AO67" i="11"/>
  <c r="Z67" i="11"/>
  <c r="C68" i="11"/>
  <c r="D68" i="11"/>
  <c r="E68" i="11"/>
  <c r="F68" i="11"/>
  <c r="G68" i="11"/>
  <c r="H68" i="11"/>
  <c r="I68" i="11"/>
  <c r="J68" i="11"/>
  <c r="K68" i="11"/>
  <c r="L68" i="11"/>
  <c r="M68" i="11"/>
  <c r="D67" i="11"/>
  <c r="F67" i="11"/>
  <c r="H67" i="11"/>
  <c r="J67" i="11"/>
  <c r="L67" i="11"/>
  <c r="N67" i="11"/>
  <c r="P67" i="11"/>
  <c r="T67" i="11"/>
  <c r="X67" i="11"/>
  <c r="N68" i="10"/>
  <c r="O68" i="10"/>
  <c r="P68" i="10"/>
  <c r="Q68" i="10"/>
  <c r="R68" i="10"/>
  <c r="S68" i="10"/>
  <c r="U68" i="10"/>
  <c r="V68" i="10"/>
  <c r="W68" i="10"/>
  <c r="Y68" i="10"/>
  <c r="C68" i="10"/>
  <c r="E68" i="10"/>
  <c r="G68" i="10"/>
  <c r="H68" i="10"/>
  <c r="N67" i="10"/>
  <c r="O67" i="10"/>
  <c r="V67" i="10"/>
  <c r="W67" i="10"/>
  <c r="X67" i="10"/>
  <c r="Y67" i="10"/>
  <c r="M68" i="10"/>
  <c r="M67" i="10"/>
  <c r="C67" i="10"/>
  <c r="E67" i="10"/>
  <c r="G67" i="10"/>
  <c r="H67" i="10"/>
  <c r="I67" i="10"/>
  <c r="J67" i="10"/>
  <c r="B67" i="10"/>
  <c r="B68" i="10"/>
  <c r="AE70" i="8"/>
  <c r="AE69" i="8"/>
  <c r="AG69" i="8"/>
  <c r="AH69" i="8"/>
  <c r="AI69" i="8"/>
  <c r="AB70" i="8"/>
  <c r="AB69" i="8"/>
  <c r="S70" i="8"/>
  <c r="T69" i="8"/>
  <c r="R70" i="8"/>
  <c r="R69" i="8"/>
  <c r="M70" i="8"/>
  <c r="N70" i="8"/>
  <c r="O70" i="8"/>
  <c r="P70" i="8"/>
  <c r="L69" i="8"/>
  <c r="N69" i="8"/>
  <c r="K69" i="8"/>
  <c r="I70" i="8"/>
  <c r="I69" i="8"/>
  <c r="H70" i="8"/>
  <c r="H69" i="8"/>
  <c r="X70" i="7"/>
  <c r="X69" i="7"/>
  <c r="W69" i="7"/>
  <c r="S70" i="7"/>
  <c r="R70" i="7"/>
  <c r="R69" i="7"/>
  <c r="C70" i="7"/>
  <c r="D70" i="7"/>
  <c r="E70" i="7"/>
  <c r="F70" i="7"/>
  <c r="H70" i="7"/>
  <c r="J70" i="7"/>
  <c r="L70" i="7"/>
  <c r="M70" i="7"/>
  <c r="N70" i="7"/>
  <c r="P70" i="7"/>
  <c r="C69" i="7"/>
  <c r="D69" i="7"/>
  <c r="E69" i="7"/>
  <c r="F69" i="7"/>
  <c r="H69" i="7"/>
  <c r="J69" i="7"/>
  <c r="L69" i="7"/>
  <c r="M69" i="7"/>
  <c r="N69" i="7"/>
  <c r="P69" i="7"/>
  <c r="G69" i="6"/>
  <c r="K69" i="6"/>
  <c r="M69" i="6"/>
  <c r="CV70" i="5"/>
  <c r="CM70" i="5"/>
  <c r="CD70" i="5"/>
  <c r="AS70" i="5"/>
  <c r="BD70" i="5"/>
  <c r="BF70" i="5"/>
  <c r="BG70" i="5"/>
  <c r="BH70" i="5"/>
  <c r="AC70" i="5"/>
  <c r="AE70" i="5"/>
  <c r="AF70" i="5"/>
  <c r="AJ70" i="5"/>
  <c r="AM70" i="5"/>
  <c r="AN70" i="5"/>
  <c r="AO70" i="5"/>
  <c r="AB70" i="5"/>
  <c r="T70" i="5"/>
  <c r="G70" i="5"/>
  <c r="H70" i="5"/>
  <c r="I70" i="5"/>
  <c r="F70" i="5"/>
  <c r="K70" i="4"/>
  <c r="J70" i="4"/>
  <c r="I70" i="4"/>
  <c r="H70" i="4"/>
  <c r="G70" i="4"/>
  <c r="F70" i="4"/>
  <c r="D70" i="4"/>
  <c r="D69" i="4"/>
  <c r="V67" i="13"/>
  <c r="BR71" i="9"/>
  <c r="I70" i="6"/>
  <c r="N70" i="6"/>
  <c r="B67" i="13"/>
  <c r="CF70" i="5"/>
  <c r="R71" i="9"/>
  <c r="Y68" i="13"/>
  <c r="E68" i="13"/>
  <c r="D67" i="13"/>
  <c r="BW70" i="5"/>
  <c r="CH70" i="5"/>
  <c r="BQ71" i="9"/>
  <c r="N70" i="9"/>
  <c r="AD69" i="5"/>
  <c r="BP69" i="5"/>
  <c r="BE67" i="11"/>
  <c r="CT70" i="9"/>
  <c r="AD68" i="12"/>
  <c r="AL70" i="5"/>
  <c r="BE70" i="5"/>
  <c r="D69" i="8"/>
  <c r="AS70" i="9"/>
  <c r="AU70" i="5"/>
  <c r="J69" i="6"/>
  <c r="AB68" i="13"/>
  <c r="F70" i="8"/>
  <c r="AD70" i="8"/>
  <c r="C69" i="8"/>
  <c r="B69" i="6"/>
  <c r="F70" i="6"/>
  <c r="F69" i="6"/>
  <c r="B70" i="6"/>
  <c r="J70" i="6"/>
  <c r="L70" i="6"/>
  <c r="D70" i="6"/>
  <c r="L69" i="6"/>
  <c r="C70" i="8"/>
  <c r="C70" i="6"/>
  <c r="CL70" i="5"/>
  <c r="CN69" i="5"/>
  <c r="CN70" i="5"/>
  <c r="L69" i="3" l="1"/>
  <c r="H69" i="3"/>
  <c r="K67" i="10"/>
  <c r="H70" i="3"/>
  <c r="D68" i="10"/>
  <c r="D67" i="10"/>
  <c r="F67" i="10"/>
  <c r="F6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PC03</author>
  </authors>
  <commentList>
    <comment ref="P1" authorId="0" shapeId="0" xr:uid="{AEB8ADBD-D628-413D-8959-265D16FB05CE}">
      <text>
        <r>
          <rPr>
            <sz val="9"/>
            <color indexed="81"/>
            <rFont val="MS P ゴシック"/>
            <family val="3"/>
            <charset val="128"/>
          </rPr>
          <t xml:space="preserve">３ヵ年平均
</t>
        </r>
      </text>
    </comment>
  </commentList>
</comments>
</file>

<file path=xl/sharedStrings.xml><?xml version="1.0" encoding="utf-8"?>
<sst xmlns="http://schemas.openxmlformats.org/spreadsheetml/2006/main" count="5743" uniqueCount="787">
  <si>
    <t>都　市　要　覧</t>
    <rPh sb="0" eb="1">
      <t>ト</t>
    </rPh>
    <rPh sb="2" eb="3">
      <t>シ</t>
    </rPh>
    <rPh sb="4" eb="5">
      <t>ヨウ</t>
    </rPh>
    <rPh sb="6" eb="7">
      <t>ラン</t>
    </rPh>
    <phoneticPr fontId="2"/>
  </si>
  <si>
    <t>2024年2月</t>
    <rPh sb="4" eb="5">
      <t>ネン</t>
    </rPh>
    <rPh sb="6" eb="7">
      <t>ツキ</t>
    </rPh>
    <phoneticPr fontId="2"/>
  </si>
  <si>
    <t>（令和5年度）</t>
    <rPh sb="1" eb="3">
      <t>レイワ</t>
    </rPh>
    <rPh sb="4" eb="6">
      <t>ネンド</t>
    </rPh>
    <rPh sb="5" eb="6">
      <t>ドヘイネンド</t>
    </rPh>
    <phoneticPr fontId="2"/>
  </si>
  <si>
    <t>中核市市長会</t>
    <rPh sb="0" eb="2">
      <t>チュウカク</t>
    </rPh>
    <rPh sb="2" eb="3">
      <t>シ</t>
    </rPh>
    <rPh sb="3" eb="6">
      <t>シチョウカイ</t>
    </rPh>
    <phoneticPr fontId="2"/>
  </si>
  <si>
    <t>都市要覧の指標の記入要領</t>
    <rPh sb="0" eb="4">
      <t>トシヨウラン</t>
    </rPh>
    <rPh sb="5" eb="7">
      <t>シヒョウ</t>
    </rPh>
    <rPh sb="8" eb="10">
      <t>キニュウ</t>
    </rPh>
    <rPh sb="10" eb="12">
      <t>ヨウリョウ</t>
    </rPh>
    <phoneticPr fontId="2"/>
  </si>
  <si>
    <t>■指標の記入について</t>
    <rPh sb="1" eb="3">
      <t>シヒョウ</t>
    </rPh>
    <rPh sb="4" eb="6">
      <t>キニュウ</t>
    </rPh>
    <phoneticPr fontId="2"/>
  </si>
  <si>
    <r>
      <t>・　基準日は、</t>
    </r>
    <r>
      <rPr>
        <b/>
        <u/>
        <sz val="11"/>
        <color theme="1"/>
        <rFont val="ＭＳ ゴシック"/>
        <family val="3"/>
        <charset val="128"/>
      </rPr>
      <t>都市要覧の作成年度をＮ年度</t>
    </r>
    <r>
      <rPr>
        <sz val="11"/>
        <color theme="1"/>
        <rFont val="ＭＳ ゴシック"/>
        <family val="3"/>
        <charset val="128"/>
      </rPr>
      <t>とした場合において、原則としてＮ年４月１日とします。</t>
    </r>
    <rPh sb="2" eb="5">
      <t>キジュンビ</t>
    </rPh>
    <rPh sb="7" eb="11">
      <t>トシヨウラン</t>
    </rPh>
    <rPh sb="12" eb="15">
      <t>サクセイネン</t>
    </rPh>
    <rPh sb="15" eb="16">
      <t>ド</t>
    </rPh>
    <rPh sb="18" eb="20">
      <t>ネンド</t>
    </rPh>
    <rPh sb="23" eb="25">
      <t>バアイ</t>
    </rPh>
    <rPh sb="30" eb="32">
      <t>ゲンソク</t>
    </rPh>
    <rPh sb="36" eb="37">
      <t>ネン</t>
    </rPh>
    <rPh sb="38" eb="39">
      <t>ガツ</t>
    </rPh>
    <rPh sb="40" eb="41">
      <t>ヒ</t>
    </rPh>
    <phoneticPr fontId="2"/>
  </si>
  <si>
    <t>・　基準日のデータがない場合は、直近のデータを記入し、その基準日をコメント機能によりコメントを付記するか欄外に入力してください。</t>
    <rPh sb="2" eb="5">
      <t>キジュンビ</t>
    </rPh>
    <rPh sb="12" eb="14">
      <t>バアイ</t>
    </rPh>
    <rPh sb="16" eb="17">
      <t>チョク</t>
    </rPh>
    <rPh sb="17" eb="18">
      <t>キン</t>
    </rPh>
    <rPh sb="23" eb="25">
      <t>キニュウ</t>
    </rPh>
    <rPh sb="29" eb="32">
      <t>キジュンビ</t>
    </rPh>
    <rPh sb="37" eb="39">
      <t>キノウ</t>
    </rPh>
    <rPh sb="47" eb="49">
      <t>フキ</t>
    </rPh>
    <rPh sb="52" eb="54">
      <t>ランガイ</t>
    </rPh>
    <rPh sb="55" eb="57">
      <t>ニュウリョク</t>
    </rPh>
    <phoneticPr fontId="2"/>
  </si>
  <si>
    <t>・　各指標について、単位に満たない場合等における記入方法は次のとおり。</t>
    <rPh sb="2" eb="3">
      <t>カク</t>
    </rPh>
    <rPh sb="10" eb="12">
      <t>タンイ</t>
    </rPh>
    <rPh sb="13" eb="14">
      <t>ミ</t>
    </rPh>
    <rPh sb="17" eb="20">
      <t>バアイトウ</t>
    </rPh>
    <rPh sb="24" eb="28">
      <t>キニュウホウホウ</t>
    </rPh>
    <rPh sb="29" eb="30">
      <t>ツギ</t>
    </rPh>
    <phoneticPr fontId="2"/>
  </si>
  <si>
    <t>　　　　「0」   　該当する数値は存在するが、単位に満たない場合</t>
    <rPh sb="16" eb="17">
      <t>アタイ</t>
    </rPh>
    <rPh sb="31" eb="33">
      <t>バアイ</t>
    </rPh>
    <phoneticPr fontId="2"/>
  </si>
  <si>
    <t>　　　　「－」     定義上、該当する数値が存在しない場合（皆無を含む）</t>
    <rPh sb="21" eb="22">
      <t>アタイ</t>
    </rPh>
    <phoneticPr fontId="2"/>
  </si>
  <si>
    <t>　　　　「...」    不詳、数値が得られない（計測不能）の場合</t>
    <rPh sb="27" eb="29">
      <t>フノウ</t>
    </rPh>
    <phoneticPr fontId="2"/>
  </si>
  <si>
    <t>項　　目</t>
    <rPh sb="0" eb="1">
      <t>コウ</t>
    </rPh>
    <rPh sb="3" eb="4">
      <t>メ</t>
    </rPh>
    <phoneticPr fontId="2"/>
  </si>
  <si>
    <t>指　　　　　　標</t>
    <rPh sb="0" eb="1">
      <t>ユビ</t>
    </rPh>
    <rPh sb="7" eb="8">
      <t>ヒョウ</t>
    </rPh>
    <phoneticPr fontId="2"/>
  </si>
  <si>
    <t>記　　入　　要　　領</t>
    <rPh sb="0" eb="1">
      <t>キ</t>
    </rPh>
    <rPh sb="3" eb="4">
      <t>イリ</t>
    </rPh>
    <rPh sb="6" eb="7">
      <t>ヨウ</t>
    </rPh>
    <rPh sb="9" eb="10">
      <t>リョウ</t>
    </rPh>
    <phoneticPr fontId="2"/>
  </si>
  <si>
    <t>１　市勢</t>
    <rPh sb="2" eb="3">
      <t>シ</t>
    </rPh>
    <rPh sb="3" eb="4">
      <t>セイ</t>
    </rPh>
    <phoneticPr fontId="2"/>
  </si>
  <si>
    <t>人口</t>
    <rPh sb="0" eb="2">
      <t>ジンコウ</t>
    </rPh>
    <phoneticPr fontId="2"/>
  </si>
  <si>
    <t>・住民基本台帳人口及び世帯数は、Ｎ年３月３１日現在の数値を記入
・昼夜間人口比率は、令和２年国勢調査における昼間人口を夜間人口で除して得た数を記入
・人口密度は、Ｎ年３月３１日現在の住民基本台帳人口を行政区域面積で除した数を記入
・人口集中地区の数値は、令和２年国勢調査から記入
・姉妹・友好都市は、パートナーシティなど何らかの提携により交流している都市を含む
・その他はＮ年４月１日現在の数値を記入</t>
    <rPh sb="9" eb="10">
      <t>オヨ</t>
    </rPh>
    <rPh sb="26" eb="28">
      <t>スウチ</t>
    </rPh>
    <rPh sb="42" eb="44">
      <t>レイワ</t>
    </rPh>
    <rPh sb="123" eb="125">
      <t>スウチ</t>
    </rPh>
    <rPh sb="127" eb="129">
      <t>レイワ</t>
    </rPh>
    <rPh sb="141" eb="143">
      <t>シマイ</t>
    </rPh>
    <rPh sb="144" eb="148">
      <t>ユウコウトシ</t>
    </rPh>
    <rPh sb="164" eb="166">
      <t>テイケイ</t>
    </rPh>
    <rPh sb="169" eb="171">
      <t>コウリュウ</t>
    </rPh>
    <rPh sb="175" eb="177">
      <t>トシ</t>
    </rPh>
    <rPh sb="178" eb="179">
      <t>フク</t>
    </rPh>
    <rPh sb="195" eb="197">
      <t>スウチ</t>
    </rPh>
    <phoneticPr fontId="2"/>
  </si>
  <si>
    <t>年少・生産・６５歳以上人口比率</t>
    <rPh sb="0" eb="2">
      <t>ネンショウ</t>
    </rPh>
    <rPh sb="3" eb="5">
      <t>セイサン</t>
    </rPh>
    <rPh sb="8" eb="9">
      <t>サイ</t>
    </rPh>
    <rPh sb="9" eb="11">
      <t>イジョウ</t>
    </rPh>
    <rPh sb="11" eb="13">
      <t>ジンコウ</t>
    </rPh>
    <rPh sb="13" eb="15">
      <t>ヒリツ</t>
    </rPh>
    <phoneticPr fontId="2"/>
  </si>
  <si>
    <t>世帯数・昼夜間人口比率・行政区域面積・人口密度・人口集中地区・姉妹友好都市数</t>
    <rPh sb="0" eb="3">
      <t>セタイスウ</t>
    </rPh>
    <rPh sb="4" eb="6">
      <t>チュウヤ</t>
    </rPh>
    <rPh sb="6" eb="7">
      <t>カン</t>
    </rPh>
    <rPh sb="7" eb="9">
      <t>ジンコウ</t>
    </rPh>
    <rPh sb="9" eb="11">
      <t>ヒリツ</t>
    </rPh>
    <rPh sb="12" eb="14">
      <t>ギョウセイ</t>
    </rPh>
    <rPh sb="14" eb="16">
      <t>クイキ</t>
    </rPh>
    <rPh sb="16" eb="18">
      <t>メンセキ</t>
    </rPh>
    <rPh sb="19" eb="21">
      <t>ジンコウ</t>
    </rPh>
    <rPh sb="21" eb="23">
      <t>ミツド</t>
    </rPh>
    <rPh sb="24" eb="26">
      <t>ジンコウ</t>
    </rPh>
    <rPh sb="26" eb="28">
      <t>シュウチュウ</t>
    </rPh>
    <rPh sb="28" eb="30">
      <t>チク</t>
    </rPh>
    <phoneticPr fontId="2"/>
  </si>
  <si>
    <t>自然動態・社会動態</t>
    <rPh sb="0" eb="2">
      <t>シゼン</t>
    </rPh>
    <rPh sb="2" eb="4">
      <t>ドウタイ</t>
    </rPh>
    <rPh sb="5" eb="7">
      <t>シャカイ</t>
    </rPh>
    <rPh sb="7" eb="9">
      <t>ドウタイ</t>
    </rPh>
    <phoneticPr fontId="2"/>
  </si>
  <si>
    <t>・Ｎ－１年1月1日からＮ－１年１２月３１日までの数値を記入
・合計特殊出生率は、Ｎ－２年の数値を記入（令和４年度から前々年の合計特殊出生率を掲載することに変更（令和３年度まで前年の合計特殊出生率を掲載））</t>
    <rPh sb="4" eb="5">
      <t>ネン</t>
    </rPh>
    <rPh sb="5" eb="6">
      <t>ヘイネン</t>
    </rPh>
    <rPh sb="6" eb="7">
      <t>ガツ</t>
    </rPh>
    <rPh sb="8" eb="9">
      <t>ヒ</t>
    </rPh>
    <rPh sb="14" eb="15">
      <t>ネン</t>
    </rPh>
    <rPh sb="17" eb="18">
      <t>ガツ</t>
    </rPh>
    <rPh sb="20" eb="21">
      <t>ニチ</t>
    </rPh>
    <rPh sb="24" eb="26">
      <t>スウチ</t>
    </rPh>
    <rPh sb="27" eb="29">
      <t>キニュウ</t>
    </rPh>
    <rPh sb="31" eb="38">
      <t>ゴウケイトクシュシュッショウリツ</t>
    </rPh>
    <rPh sb="43" eb="44">
      <t>ネン</t>
    </rPh>
    <rPh sb="45" eb="47">
      <t>スウチ</t>
    </rPh>
    <rPh sb="48" eb="50">
      <t>キニュウ</t>
    </rPh>
    <rPh sb="51" eb="53">
      <t>レイワ</t>
    </rPh>
    <rPh sb="54" eb="55">
      <t>ネン</t>
    </rPh>
    <rPh sb="55" eb="56">
      <t>ド</t>
    </rPh>
    <rPh sb="58" eb="60">
      <t>ゼンゼン</t>
    </rPh>
    <rPh sb="60" eb="61">
      <t>ネン</t>
    </rPh>
    <rPh sb="62" eb="69">
      <t>ゴウケイトクシュシュッショウリツ</t>
    </rPh>
    <rPh sb="70" eb="72">
      <t>ケイサイ</t>
    </rPh>
    <rPh sb="77" eb="79">
      <t>ヘンコウ</t>
    </rPh>
    <rPh sb="80" eb="82">
      <t>レイワ</t>
    </rPh>
    <rPh sb="83" eb="85">
      <t>ネンド</t>
    </rPh>
    <rPh sb="87" eb="89">
      <t>ゼンネン</t>
    </rPh>
    <rPh sb="90" eb="97">
      <t>ゴウケイトクシュシュッショウリツ</t>
    </rPh>
    <rPh sb="98" eb="100">
      <t>ケイサイ</t>
    </rPh>
    <phoneticPr fontId="2"/>
  </si>
  <si>
    <t>その他</t>
    <rPh sb="2" eb="3">
      <t>タ</t>
    </rPh>
    <phoneticPr fontId="2"/>
  </si>
  <si>
    <t>・自治会加入率=自治会加入世帯数÷推計世帯数（小数点以下四捨五入）　により算出</t>
    <rPh sb="23" eb="28">
      <t>ショウスウテンイカ</t>
    </rPh>
    <rPh sb="28" eb="32">
      <t>シシャゴニュウ</t>
    </rPh>
    <rPh sb="37" eb="39">
      <t>サンシュツ</t>
    </rPh>
    <phoneticPr fontId="2"/>
  </si>
  <si>
    <t>２　職員数及び
　職員給料等</t>
    <rPh sb="2" eb="5">
      <t>ショクインスウ</t>
    </rPh>
    <rPh sb="5" eb="6">
      <t>オヨ</t>
    </rPh>
    <phoneticPr fontId="2"/>
  </si>
  <si>
    <t xml:space="preserve">職員総数
一般職員の職員数、平均年齢、
平均給料月額、ラスパイレス指数、
審議会等の女性参画率、管理職に占める女性比率
</t>
    <rPh sb="0" eb="2">
      <t>ショクイン</t>
    </rPh>
    <rPh sb="2" eb="4">
      <t>ソウスウ</t>
    </rPh>
    <rPh sb="5" eb="7">
      <t>イッパン</t>
    </rPh>
    <rPh sb="7" eb="9">
      <t>ショクイン</t>
    </rPh>
    <rPh sb="10" eb="12">
      <t>ショクイン</t>
    </rPh>
    <rPh sb="12" eb="13">
      <t>スウ</t>
    </rPh>
    <rPh sb="14" eb="16">
      <t>ヘイキン</t>
    </rPh>
    <rPh sb="16" eb="18">
      <t>ネンレイ</t>
    </rPh>
    <rPh sb="20" eb="22">
      <t>ヘイキン</t>
    </rPh>
    <rPh sb="22" eb="24">
      <t>キュウリョウ</t>
    </rPh>
    <rPh sb="24" eb="25">
      <t>ツキ</t>
    </rPh>
    <rPh sb="25" eb="26">
      <t>ガク</t>
    </rPh>
    <rPh sb="33" eb="35">
      <t>シスウ</t>
    </rPh>
    <rPh sb="37" eb="40">
      <t>シンギカイ</t>
    </rPh>
    <rPh sb="40" eb="41">
      <t>トウ</t>
    </rPh>
    <rPh sb="42" eb="44">
      <t>ジョセイ</t>
    </rPh>
    <rPh sb="44" eb="46">
      <t>サンカク</t>
    </rPh>
    <rPh sb="46" eb="47">
      <t>リツ</t>
    </rPh>
    <rPh sb="48" eb="50">
      <t>カンリ</t>
    </rPh>
    <rPh sb="50" eb="51">
      <t>ショク</t>
    </rPh>
    <rPh sb="52" eb="53">
      <t>シ</t>
    </rPh>
    <rPh sb="55" eb="57">
      <t>ジョセイ</t>
    </rPh>
    <rPh sb="57" eb="59">
      <t>ヒリツ</t>
    </rPh>
    <phoneticPr fontId="2"/>
  </si>
  <si>
    <t>・Ｎ－１年地方公務員給与実態調査から記入
・市民千人当たり職員数は、Ｎ－１年３月３１日現在住民基本台帳人口により算出
・審議会等の女性参画率は、内閣府男女共同参画局「地方公共団体における男女共同参画の形成又は女性に関する施策の推進状況(Ｎ－１年度)」において「地方自治法（第２０２条の３）に基づく審議会等における登用状況」として報告する数値を記入
・管理職に占める女性比率は、内閣府男女共同参画局「地方公共団体における男女共同参画の形成又は女性に関する施策の推進状況(Ｎ－１年度)」において「市町村職員の管理職の在職状況」として報告する数値を記入</t>
    <rPh sb="171" eb="173">
      <t>キニュウ</t>
    </rPh>
    <rPh sb="271" eb="273">
      <t>キニュウ</t>
    </rPh>
    <phoneticPr fontId="2"/>
  </si>
  <si>
    <t>３　保健・福祉</t>
    <rPh sb="2" eb="4">
      <t>ホケン</t>
    </rPh>
    <rPh sb="5" eb="7">
      <t>フクシ</t>
    </rPh>
    <phoneticPr fontId="2"/>
  </si>
  <si>
    <t>生活保護</t>
    <rPh sb="0" eb="2">
      <t>セイカツ</t>
    </rPh>
    <rPh sb="2" eb="4">
      <t>ホゴ</t>
    </rPh>
    <phoneticPr fontId="2"/>
  </si>
  <si>
    <t>・Ｎ年4月分被保護者調査から記入</t>
  </si>
  <si>
    <t>高齢者福祉施設等
（公立・私立を含む）</t>
    <rPh sb="0" eb="3">
      <t>コウレイシャ</t>
    </rPh>
    <rPh sb="3" eb="5">
      <t>フクシ</t>
    </rPh>
    <rPh sb="5" eb="7">
      <t>シセツ</t>
    </rPh>
    <rPh sb="7" eb="8">
      <t>トウ</t>
    </rPh>
    <phoneticPr fontId="2"/>
  </si>
  <si>
    <t>・有料老人ホーム数は、Ｎ年４月１日現在の老人福祉法第２９条第１項に規定する有料老人ホームの数を記入（サービス付き高齢者向け住宅である有料老人ホームを含む）
・指定介護サービス事業所数は、指定居宅サービス事業所、指定地域密着型サービス事業所、指定居宅介護支援事業所、指定介護予防サービス事業所、指定地域密着型介護予防サービス事業所、指定介護予防支援事業所、総合事業事業所の数を記入（施設みなしを含み、健康保険法の規定によるみなし指定の事業所を除く）
※複数のサービスを行っている場合、サービスごとに事業所をカウント
　（例）短期入所生活介護・介護予防短期入所生活介護を一体的に運営している事業所は「２」とカウント
※有料老人ホームに計上される特定施設入居者生活介護等を含む</t>
    <rPh sb="45" eb="46">
      <t>カズ</t>
    </rPh>
    <rPh sb="54" eb="55">
      <t>ツ</t>
    </rPh>
    <rPh sb="66" eb="70">
      <t>ユウリョウロウジン</t>
    </rPh>
    <rPh sb="74" eb="75">
      <t>フク</t>
    </rPh>
    <rPh sb="220" eb="221">
      <t>ノゾ</t>
    </rPh>
    <rPh sb="315" eb="317">
      <t>ケイジョウ</t>
    </rPh>
    <phoneticPr fontId="2"/>
  </si>
  <si>
    <t>介護保険</t>
    <rPh sb="0" eb="2">
      <t>カイゴ</t>
    </rPh>
    <rPh sb="2" eb="4">
      <t>ホケン</t>
    </rPh>
    <phoneticPr fontId="2"/>
  </si>
  <si>
    <t>・第1号被保険者数及び要介護（要支援）認定者数はＮ年３月月報により、それぞれＮ年３月末現在の数値を記入
・保険給付費、保険料収納率は、Ｎ－１年度事業年報から記入（滞納繰越分及び還付未済額を含む）
・地域包括支援センター数は、Ｎ年４月１日現在の数値を記入</t>
    <rPh sb="9" eb="10">
      <t>オヨ</t>
    </rPh>
    <rPh sb="25" eb="26">
      <t>ネン</t>
    </rPh>
    <rPh sb="27" eb="28">
      <t>ガツ</t>
    </rPh>
    <rPh sb="28" eb="30">
      <t>ゲッポウ</t>
    </rPh>
    <rPh sb="46" eb="48">
      <t>スウチ</t>
    </rPh>
    <rPh sb="81" eb="83">
      <t>タイノウ</t>
    </rPh>
    <rPh sb="83" eb="85">
      <t>クリコシ</t>
    </rPh>
    <rPh sb="85" eb="86">
      <t>ブン</t>
    </rPh>
    <rPh sb="86" eb="87">
      <t>オヨ</t>
    </rPh>
    <rPh sb="88" eb="93">
      <t>カンプミサイガク</t>
    </rPh>
    <rPh sb="94" eb="95">
      <t>フク</t>
    </rPh>
    <rPh sb="121" eb="123">
      <t>スウチ</t>
    </rPh>
    <phoneticPr fontId="2"/>
  </si>
  <si>
    <t>国民健康保険</t>
    <rPh sb="0" eb="2">
      <t>コクミン</t>
    </rPh>
    <rPh sb="2" eb="4">
      <t>ケンコウ</t>
    </rPh>
    <rPh sb="4" eb="6">
      <t>ホケン</t>
    </rPh>
    <phoneticPr fontId="2"/>
  </si>
  <si>
    <t>・Ｎ年３月事業月報、Ｎ－１年度事業年報（年度末現在）から記入
・加入率は、Ｎ年３月３１日現在住民基本台帳人口及び世帯数により算出
・被保険者１人当たり費用額は、Ｎ－１年度事業年報から記入
・保険料（税）収納率は、現年度のものとし、小数第二位を四捨五入する
・特定健康診査実施率及び特定保健指導実施率は、Ｎ－１年度実施分法定報告値から記入</t>
    <rPh sb="15" eb="17">
      <t>ジギョウ</t>
    </rPh>
    <rPh sb="17" eb="19">
      <t>ネンポウ</t>
    </rPh>
    <rPh sb="20" eb="23">
      <t>ネンドマツ</t>
    </rPh>
    <rPh sb="23" eb="25">
      <t>ゲンザイ</t>
    </rPh>
    <rPh sb="28" eb="30">
      <t>キニュウ</t>
    </rPh>
    <rPh sb="46" eb="48">
      <t>ジュウミン</t>
    </rPh>
    <rPh sb="48" eb="50">
      <t>キホン</t>
    </rPh>
    <rPh sb="50" eb="52">
      <t>ダイチョウ</t>
    </rPh>
    <rPh sb="54" eb="55">
      <t>オヨ</t>
    </rPh>
    <rPh sb="56" eb="59">
      <t>セタイスウ</t>
    </rPh>
    <rPh sb="95" eb="98">
      <t>ホケンリョウ</t>
    </rPh>
    <rPh sb="99" eb="100">
      <t>ゼイ</t>
    </rPh>
    <rPh sb="115" eb="118">
      <t>ショウスウダイ</t>
    </rPh>
    <rPh sb="118" eb="120">
      <t>ニイ</t>
    </rPh>
    <rPh sb="121" eb="125">
      <t>シシャゴニュウ</t>
    </rPh>
    <rPh sb="138" eb="139">
      <t>オヨ</t>
    </rPh>
    <phoneticPr fontId="2"/>
  </si>
  <si>
    <t>保育所等</t>
    <rPh sb="0" eb="2">
      <t>ホイク</t>
    </rPh>
    <rPh sb="2" eb="3">
      <t>ジョ</t>
    </rPh>
    <rPh sb="3" eb="4">
      <t>トウ</t>
    </rPh>
    <phoneticPr fontId="2"/>
  </si>
  <si>
    <t>・子育てのための施設等利用給付の新２号支給認定者数には、「１号認定＋新２号認定」を含む
・支給認定者数（教育・保育給付）、支給人者数（施設等利用給付）の人口比については、
　１号・・・３～５歳児童数に占める割合を記入
　２号、新２号・・・３～５歳児童数に占める割合を記入
　３号・・・０～２歳児童数に占める割合を記入
・保育所入所待機児童数は、厚生労働省「保育所等利用待機児童数調査」において報告する数値（Ｎ年４月１日時点）を記入
・地域子育て支援拠点事業の実施箇所数は、Ｎ年４月１日現在を記入</t>
  </si>
  <si>
    <t>医療機関(公立・私立を含む)</t>
    <rPh sb="0" eb="2">
      <t>イリョウ</t>
    </rPh>
    <rPh sb="2" eb="4">
      <t>キカン</t>
    </rPh>
    <rPh sb="6" eb="7">
      <t>リツ</t>
    </rPh>
    <phoneticPr fontId="2"/>
  </si>
  <si>
    <t>・人口割合は、Ｎ年３月３１日現在住民基本台帳人口で除した数値を記入
・医師、歯科医師数及び薬剤師数は令和２年医師・歯科医師・薬剤師統計から記入</t>
  </si>
  <si>
    <t>障害福祉</t>
    <rPh sb="0" eb="2">
      <t>ショウガイ</t>
    </rPh>
    <rPh sb="2" eb="4">
      <t>フクシ</t>
    </rPh>
    <phoneticPr fontId="2"/>
  </si>
  <si>
    <r>
      <t>・指定障害福祉サービス等事業所数、指定障害児通所支援事業所数は、Ｎ－１年社会福祉施設等調査から記入
・指定障害福祉サービス等事業所数は、居宅介護、重度訪問介護、同行援護、行動援護、療養介護、生活介護、重度障害者等包括支援、短期入所、共同生活援助、自立訓練（機能訓練）、自立訓練（生活訓練）、宿泊型自立訓練、就労移行支援、就労継続支援（Ａ型）、就労継続支援（Ｂ型）、自立生活支援、就労定着支援、計画相談支援、地域移行支援、地域定着支援事業所の数を記入（</t>
    </r>
    <r>
      <rPr>
        <b/>
        <sz val="11"/>
        <color theme="1"/>
        <rFont val="ＭＳ ゴシック"/>
        <family val="3"/>
        <charset val="128"/>
      </rPr>
      <t>複数のサービスを行っている場合、サービスごとに事業所を計上</t>
    </r>
    <r>
      <rPr>
        <sz val="11"/>
        <color theme="1"/>
        <rFont val="ＭＳ ゴシック"/>
        <family val="3"/>
        <charset val="128"/>
      </rPr>
      <t>）
※障害者支援施設の昼間実施サービス（生活介護、自立訓練、就労移行支援及び就労継続支援）を除く
・指定障害児通所支援事業所数は、児童発達支援、居宅訪問型児童発達支援、放課後等デイサービス、保育所等訪問支援、障害児相談支援事業所の数を記入（複数のサービスを行っている場合、サービスごとに事業所を計上）
・障害福祉サービス支給決定者数、障害児通所支援支給決定者数は、Ｎ年３月３１日現在の支給決定者実人数を記入
・各手帳所持者数は、Ｎ年４月１日現在の数値を記入</t>
    </r>
    <rPh sb="252" eb="254">
      <t>ケイジョウ</t>
    </rPh>
    <rPh sb="402" eb="404">
      <t>ケイジョウ</t>
    </rPh>
    <rPh sb="407" eb="411">
      <t>ショウガイフクシ</t>
    </rPh>
    <rPh sb="415" eb="420">
      <t>シキュウケッテイシャ</t>
    </rPh>
    <rPh sb="420" eb="421">
      <t>スウ</t>
    </rPh>
    <rPh sb="438" eb="439">
      <t>ネン</t>
    </rPh>
    <rPh sb="440" eb="441">
      <t>ガツ</t>
    </rPh>
    <rPh sb="443" eb="444">
      <t>ニチ</t>
    </rPh>
    <rPh sb="444" eb="446">
      <t>ゲンザイ</t>
    </rPh>
    <rPh sb="460" eb="461">
      <t>カク</t>
    </rPh>
    <rPh sb="478" eb="480">
      <t>スウチ</t>
    </rPh>
    <phoneticPr fontId="2"/>
  </si>
  <si>
    <t>４　環境　</t>
    <rPh sb="2" eb="4">
      <t>カンキョウ</t>
    </rPh>
    <phoneticPr fontId="2"/>
  </si>
  <si>
    <t>総排出量、リサイクル率</t>
    <rPh sb="0" eb="1">
      <t>ソウ</t>
    </rPh>
    <rPh sb="1" eb="3">
      <t>ハイシュツ</t>
    </rPh>
    <rPh sb="3" eb="4">
      <t>リョウ</t>
    </rPh>
    <rPh sb="10" eb="11">
      <t>リツ</t>
    </rPh>
    <phoneticPr fontId="2"/>
  </si>
  <si>
    <t xml:space="preserve">・一般廃棄物処理事業実態調査（Ｎ－２年度実績）から記入
・１人１日当たり排出量　ごみ排出量（計画収集量、直接搬入量、集団回収量を加えた事業系を含む一般廃棄物の排出量）÷人口÷365日
・１人１日当たりの家庭系ごみ排出量　家庭系ごみ排出量（集団回収量、資源ごみ等を除いた家庭からの一般廃棄物の排出量）÷人口÷365日
（１人１日当たりのごみ排出量及び１人１日当たりの家庭系ごみ排出量の詳細は、循環型社会形成基本計画を参照）
</t>
    <rPh sb="1" eb="3">
      <t>イッパン</t>
    </rPh>
    <rPh sb="3" eb="6">
      <t>ハイキブツ</t>
    </rPh>
    <rPh sb="6" eb="8">
      <t>ショリ</t>
    </rPh>
    <rPh sb="8" eb="10">
      <t>ジギョウ</t>
    </rPh>
    <rPh sb="10" eb="12">
      <t>ジッタイ</t>
    </rPh>
    <rPh sb="12" eb="14">
      <t>チョウサ</t>
    </rPh>
    <rPh sb="18" eb="20">
      <t>ネンド</t>
    </rPh>
    <rPh sb="20" eb="22">
      <t>ジッセキ</t>
    </rPh>
    <rPh sb="25" eb="27">
      <t>キニュウ</t>
    </rPh>
    <rPh sb="30" eb="31">
      <t>ニン</t>
    </rPh>
    <rPh sb="32" eb="34">
      <t>ニチア</t>
    </rPh>
    <rPh sb="36" eb="39">
      <t>ハイシュツリョウ</t>
    </rPh>
    <rPh sb="42" eb="45">
      <t>ハイシュツリョウ</t>
    </rPh>
    <rPh sb="46" eb="51">
      <t>ケイカクシュウシュウリョウ</t>
    </rPh>
    <rPh sb="52" eb="57">
      <t>チョクセツハンニュウリョウ</t>
    </rPh>
    <rPh sb="58" eb="63">
      <t>シュウダンカイシュウリョウ</t>
    </rPh>
    <rPh sb="64" eb="65">
      <t>クワ</t>
    </rPh>
    <rPh sb="67" eb="70">
      <t>ジギョウケイ</t>
    </rPh>
    <rPh sb="71" eb="72">
      <t>フク</t>
    </rPh>
    <rPh sb="73" eb="78">
      <t>イッパンハイキブツ</t>
    </rPh>
    <rPh sb="79" eb="82">
      <t>ハイシュツリョウ</t>
    </rPh>
    <rPh sb="84" eb="86">
      <t>ジンコウ</t>
    </rPh>
    <rPh sb="90" eb="91">
      <t>ニチ</t>
    </rPh>
    <rPh sb="94" eb="95">
      <t>ニン</t>
    </rPh>
    <rPh sb="96" eb="97">
      <t>ニチ</t>
    </rPh>
    <rPh sb="97" eb="98">
      <t>ア</t>
    </rPh>
    <rPh sb="101" eb="104">
      <t>カテイケイ</t>
    </rPh>
    <rPh sb="106" eb="109">
      <t>ハイシュツリョウ</t>
    </rPh>
    <rPh sb="110" eb="113">
      <t>カテイケイ</t>
    </rPh>
    <rPh sb="115" eb="118">
      <t>ハイシュツリョウ</t>
    </rPh>
    <rPh sb="125" eb="127">
      <t>シゲン</t>
    </rPh>
    <rPh sb="129" eb="130">
      <t>トウ</t>
    </rPh>
    <rPh sb="131" eb="132">
      <t>ノゾ</t>
    </rPh>
    <rPh sb="134" eb="136">
      <t>カテイ</t>
    </rPh>
    <rPh sb="139" eb="144">
      <t>イッパンハイキブツ</t>
    </rPh>
    <rPh sb="145" eb="148">
      <t>ハイシュツリョウ</t>
    </rPh>
    <rPh sb="150" eb="152">
      <t>ジンコウ</t>
    </rPh>
    <rPh sb="156" eb="157">
      <t>ニチ</t>
    </rPh>
    <rPh sb="160" eb="161">
      <t>ニン</t>
    </rPh>
    <rPh sb="162" eb="164">
      <t>ニチア</t>
    </rPh>
    <rPh sb="169" eb="173">
      <t>ハイシュツリョウオヨ</t>
    </rPh>
    <rPh sb="175" eb="176">
      <t>ニン</t>
    </rPh>
    <rPh sb="177" eb="179">
      <t>ニチア</t>
    </rPh>
    <phoneticPr fontId="2"/>
  </si>
  <si>
    <t>・リサイクル率…（〔直接資源化量+中間処理後再生利用量+集団回収量〕÷〔ごみ処理量+集団回収量〕）×１００</t>
    <phoneticPr fontId="2"/>
  </si>
  <si>
    <t>５　産業</t>
    <rPh sb="2" eb="4">
      <t>サンギョウ</t>
    </rPh>
    <phoneticPr fontId="2"/>
  </si>
  <si>
    <t>産業別事業所数</t>
    <rPh sb="0" eb="2">
      <t>サンギョウ</t>
    </rPh>
    <rPh sb="2" eb="3">
      <t>ベツ</t>
    </rPh>
    <rPh sb="3" eb="6">
      <t>ジギョウショ</t>
    </rPh>
    <rPh sb="6" eb="7">
      <t>スウ</t>
    </rPh>
    <phoneticPr fontId="2"/>
  </si>
  <si>
    <t>・令和３年経済センサス活動調査から記入（平成30年度から基準を変更し、第３次産業に「公務」を含まないことで統一する）</t>
    <rPh sb="11" eb="13">
      <t>カツドウ</t>
    </rPh>
    <rPh sb="13" eb="15">
      <t>チョウサ</t>
    </rPh>
    <rPh sb="17" eb="19">
      <t>キニュウ</t>
    </rPh>
    <rPh sb="20" eb="22">
      <t>ヘイセイ</t>
    </rPh>
    <rPh sb="24" eb="25">
      <t>ネン</t>
    </rPh>
    <rPh sb="25" eb="26">
      <t>ド</t>
    </rPh>
    <rPh sb="28" eb="30">
      <t>キジュン</t>
    </rPh>
    <rPh sb="31" eb="33">
      <t>ヘンコウ</t>
    </rPh>
    <rPh sb="35" eb="36">
      <t>ダイ</t>
    </rPh>
    <rPh sb="37" eb="38">
      <t>ジ</t>
    </rPh>
    <rPh sb="38" eb="40">
      <t>サンギョウ</t>
    </rPh>
    <rPh sb="42" eb="44">
      <t>コウム</t>
    </rPh>
    <rPh sb="46" eb="47">
      <t>フク</t>
    </rPh>
    <rPh sb="53" eb="55">
      <t>トウイツ</t>
    </rPh>
    <phoneticPr fontId="2"/>
  </si>
  <si>
    <t>産業別従業者数</t>
    <rPh sb="0" eb="2">
      <t>サンギョウ</t>
    </rPh>
    <rPh sb="2" eb="3">
      <t>ベツ</t>
    </rPh>
    <rPh sb="3" eb="4">
      <t>ジュウ</t>
    </rPh>
    <rPh sb="4" eb="7">
      <t>ギョウシャスウ</t>
    </rPh>
    <rPh sb="6" eb="7">
      <t>スウ</t>
    </rPh>
    <phoneticPr fontId="2"/>
  </si>
  <si>
    <t>農業</t>
    <rPh sb="0" eb="2">
      <t>ノウギョウ</t>
    </rPh>
    <phoneticPr fontId="2"/>
  </si>
  <si>
    <t>・2020年農林業センサスから記入</t>
    <rPh sb="5" eb="6">
      <t>ネン</t>
    </rPh>
    <rPh sb="6" eb="9">
      <t>ノウリンギョウ</t>
    </rPh>
    <rPh sb="15" eb="17">
      <t>キニュウ</t>
    </rPh>
    <phoneticPr fontId="2"/>
  </si>
  <si>
    <t>工業（事業所数）</t>
    <rPh sb="0" eb="2">
      <t>コウギョウ</t>
    </rPh>
    <rPh sb="3" eb="6">
      <t>ジギョウショ</t>
    </rPh>
    <rPh sb="6" eb="7">
      <t>スウ</t>
    </rPh>
    <phoneticPr fontId="2"/>
  </si>
  <si>
    <t>・事業所数は令和３年経済センサス活動調査から記入
・事業所数の前回からの伸び率は、経済センサスと工業統計調査の集計範囲に差異があり単純比較することができないため「-」とする。</t>
    <rPh sb="6" eb="8">
      <t>レイワ</t>
    </rPh>
    <rPh sb="9" eb="12">
      <t>ネンケイザイ</t>
    </rPh>
    <rPh sb="16" eb="20">
      <t>カツドウチョウサ</t>
    </rPh>
    <rPh sb="41" eb="43">
      <t>ケイザイ</t>
    </rPh>
    <rPh sb="55" eb="57">
      <t>シュウケイ</t>
    </rPh>
    <rPh sb="57" eb="59">
      <t>ハンイ</t>
    </rPh>
    <rPh sb="60" eb="62">
      <t>サイ</t>
    </rPh>
    <rPh sb="65" eb="69">
      <t>タンジュンヒカク</t>
    </rPh>
    <phoneticPr fontId="2"/>
  </si>
  <si>
    <t>工業（製造品出荷額等）</t>
    <rPh sb="0" eb="2">
      <t>コウギョウ</t>
    </rPh>
    <rPh sb="3" eb="6">
      <t>セイゾウヒン</t>
    </rPh>
    <rPh sb="6" eb="8">
      <t>シュッカ</t>
    </rPh>
    <rPh sb="8" eb="9">
      <t>ガク</t>
    </rPh>
    <rPh sb="9" eb="10">
      <t>トウ</t>
    </rPh>
    <phoneticPr fontId="2"/>
  </si>
  <si>
    <t>・令和３年経済センサス活動調査から記入</t>
    <rPh sb="1" eb="3">
      <t>レイワ</t>
    </rPh>
    <rPh sb="4" eb="5">
      <t>ネン</t>
    </rPh>
    <rPh sb="5" eb="7">
      <t>ケイザイ</t>
    </rPh>
    <rPh sb="11" eb="13">
      <t>カツドウ</t>
    </rPh>
    <rPh sb="13" eb="15">
      <t>チョウサ</t>
    </rPh>
    <rPh sb="17" eb="19">
      <t>キニュウ</t>
    </rPh>
    <phoneticPr fontId="2"/>
  </si>
  <si>
    <t>卸売業・小売業</t>
    <rPh sb="0" eb="2">
      <t>オロシウリ</t>
    </rPh>
    <rPh sb="2" eb="3">
      <t>ギョウ</t>
    </rPh>
    <rPh sb="4" eb="7">
      <t>コウリギョウ</t>
    </rPh>
    <phoneticPr fontId="2"/>
  </si>
  <si>
    <t>・令和３年経済センサス活動調査から記入
・卸売業、小売業の前回からの伸び率は、平成28年経済センサス活動調査との比較により記入</t>
    <rPh sb="11" eb="13">
      <t>カツドウ</t>
    </rPh>
    <rPh sb="13" eb="15">
      <t>チョウサ</t>
    </rPh>
    <rPh sb="39" eb="41">
      <t>ヘイセイ</t>
    </rPh>
    <rPh sb="43" eb="44">
      <t>ネン</t>
    </rPh>
    <rPh sb="44" eb="46">
      <t>ケイザイ</t>
    </rPh>
    <rPh sb="50" eb="52">
      <t>カツドウ</t>
    </rPh>
    <rPh sb="52" eb="54">
      <t>チョウサ</t>
    </rPh>
    <phoneticPr fontId="2"/>
  </si>
  <si>
    <t>観光</t>
    <rPh sb="0" eb="2">
      <t>カンコウ</t>
    </rPh>
    <phoneticPr fontId="2"/>
  </si>
  <si>
    <t>・観光客入込み客数は、Ｎ－１年中の延べ人数（宿泊と日帰り両方含む）
・ホテル・旅館客室数は、厚生労働省「衛生行政報告例」において報告する数値（Ｎ年３月３１日現在）</t>
    <rPh sb="14" eb="15">
      <t>ネン</t>
    </rPh>
    <rPh sb="72" eb="73">
      <t>ネン</t>
    </rPh>
    <phoneticPr fontId="2"/>
  </si>
  <si>
    <t>６　都市</t>
    <rPh sb="2" eb="4">
      <t>トシ</t>
    </rPh>
    <phoneticPr fontId="2"/>
  </si>
  <si>
    <t>道路・公園</t>
    <rPh sb="0" eb="2">
      <t>ドウロ</t>
    </rPh>
    <rPh sb="3" eb="5">
      <t>コウエン</t>
    </rPh>
    <phoneticPr fontId="2"/>
  </si>
  <si>
    <t>・市道及び公園についてはＮ年４月１日、国道及び都道府県道についてはＮ－１年４月１日の数値を基本とする
・市道以外についてその他の基準日を採用する市は、欄外に注書きする
・道路総延長は、小数第１位を四捨五入し、整数値とする</t>
    <rPh sb="3" eb="4">
      <t>オヨ</t>
    </rPh>
    <rPh sb="5" eb="7">
      <t>コウエン</t>
    </rPh>
    <rPh sb="21" eb="22">
      <t>オヨ</t>
    </rPh>
    <rPh sb="36" eb="37">
      <t>ネン</t>
    </rPh>
    <rPh sb="42" eb="44">
      <t>スウチ</t>
    </rPh>
    <rPh sb="68" eb="70">
      <t>サイヨウ</t>
    </rPh>
    <phoneticPr fontId="2"/>
  </si>
  <si>
    <t>下水道</t>
    <rPh sb="0" eb="3">
      <t>ゲスイドウ</t>
    </rPh>
    <phoneticPr fontId="2"/>
  </si>
  <si>
    <t>・Ｎ－１年度実績を記入</t>
    <rPh sb="4" eb="6">
      <t>ネンド</t>
    </rPh>
    <rPh sb="6" eb="8">
      <t>ジッセキ</t>
    </rPh>
    <rPh sb="9" eb="11">
      <t>キニュウ</t>
    </rPh>
    <phoneticPr fontId="2"/>
  </si>
  <si>
    <t>汚水処理人口普及率</t>
    <rPh sb="0" eb="2">
      <t>オスイ</t>
    </rPh>
    <rPh sb="2" eb="4">
      <t>ショリ</t>
    </rPh>
    <rPh sb="4" eb="6">
      <t>ジンコウ</t>
    </rPh>
    <rPh sb="6" eb="8">
      <t>フキュウ</t>
    </rPh>
    <rPh sb="8" eb="9">
      <t>リツ</t>
    </rPh>
    <phoneticPr fontId="2"/>
  </si>
  <si>
    <t>・Ｎ－１年度汚水処理人口普及状況総括表から記入</t>
  </si>
  <si>
    <t>上水道</t>
    <rPh sb="0" eb="3">
      <t>ジョウスイドウ</t>
    </rPh>
    <phoneticPr fontId="2"/>
  </si>
  <si>
    <t>・Ｎ－１年度実績を記入
・人口普及率は、対給水区域内人口普及率を記入
・１人当たり年間使用量は、年間有収水量÷給水人口で計算
・浄水施設及び配水池の耐震化率、管路の耐震管率及び基幹管路の耐震適合率は、水道事業ガイドラインに基づく業務指標（ＰＩ）の算定方法による
・浄水施設の耐震化率＝耐震対策の施された浄水施設能力（㎥÷日）÷全浄水施設能力（㎥÷日）×100
・配水池の耐震化率＝耐震対策の施された配水池有効容量（㎥）÷配水池等有効容量（㎥）×100
・管路の耐震管率＝(耐震管延長(km)÷管路延長(km))×100
・基幹管路の耐震適合率＝(基幹管路のうち耐震適合性のある管路延長(km)÷基幹管路延長(km))×100
※令和４年度から指標の掲載順をガイドラインの項目番号順に整序</t>
    <rPh sb="68" eb="69">
      <t>オヨ</t>
    </rPh>
    <rPh sb="74" eb="78">
      <t>タイシンカリツ</t>
    </rPh>
    <rPh sb="82" eb="85">
      <t>タイシンカン</t>
    </rPh>
    <rPh sb="86" eb="87">
      <t>オヨ</t>
    </rPh>
    <rPh sb="232" eb="233">
      <t>カン</t>
    </rPh>
    <phoneticPr fontId="2"/>
  </si>
  <si>
    <t>住宅</t>
    <rPh sb="0" eb="2">
      <t>ジュウタク</t>
    </rPh>
    <phoneticPr fontId="2"/>
  </si>
  <si>
    <t>・Ｎ－１年度建築着工統計調査から記入
・公共賃貸住宅数は、Ｎ－１年度末実績を記入
・サービス付き高齢者向け住宅数は、Ｎ年４月１日現在の登録済みサービス付き高齢者向け住宅の「箇所数」及び「戸数」</t>
    <rPh sb="4" eb="6">
      <t>ネンド</t>
    </rPh>
    <rPh sb="6" eb="8">
      <t>ケンチク</t>
    </rPh>
    <rPh sb="8" eb="10">
      <t>チャッコウ</t>
    </rPh>
    <rPh sb="10" eb="12">
      <t>トウケイ</t>
    </rPh>
    <rPh sb="12" eb="14">
      <t>チョウサ</t>
    </rPh>
    <rPh sb="16" eb="18">
      <t>キニュウ</t>
    </rPh>
    <rPh sb="59" eb="60">
      <t>ネン</t>
    </rPh>
    <phoneticPr fontId="2"/>
  </si>
  <si>
    <t>７　施設</t>
    <rPh sb="2" eb="4">
      <t>シセツ</t>
    </rPh>
    <phoneticPr fontId="2"/>
  </si>
  <si>
    <t>教育施設</t>
    <rPh sb="0" eb="2">
      <t>キョウイク</t>
    </rPh>
    <rPh sb="2" eb="4">
      <t>シセツ</t>
    </rPh>
    <phoneticPr fontId="2"/>
  </si>
  <si>
    <t>・Ｎ年４月１日現在の数値を記入。ただし、学校数、在学者数、教職員数はＮ－１年度学校基本調査により記入
・教職員数は本務者のみ記入
・大学等については市立（市が設立する公立大学法人を含む）のみ記入
・図書館については市立のみ記入
・蔵書冊数については、電子資料を除く。
・総貸出冊数については、Ｎ－１年度中の数値（雑誌、視聴覚資料を含み、電子資料を除く。）
・電子資料数については、タイトル数を記入し、同一タイトルについてライセンスが複数ある場合は１と計上（未導入の場合は「－」を記入）
・電子資料数については、雑誌、視聴覚資料を含む。ただし、ＣＤ等の物理媒体により提供される資料を除く。
・博物館等は「博物館」（登録博物館）、「博物館相当施設」又は「博物館類似施設」に分類される全ての施設を計上対象とする。また、市立のものに限定せず、公立・私立施設全てを対象とする。
・公民館数については、社会教育法に基づく条例により設置されるものを記入</t>
    <rPh sb="10" eb="12">
      <t>スウチ</t>
    </rPh>
    <rPh sb="77" eb="78">
      <t>シ</t>
    </rPh>
    <rPh sb="115" eb="119">
      <t>ゾウショサツスウ</t>
    </rPh>
    <rPh sb="125" eb="129">
      <t>デンシシリョウ</t>
    </rPh>
    <rPh sb="130" eb="131">
      <t>ノゾ</t>
    </rPh>
    <rPh sb="156" eb="158">
      <t>ザッシ</t>
    </rPh>
    <rPh sb="165" eb="166">
      <t>フク</t>
    </rPh>
    <rPh sb="168" eb="172">
      <t>デンシシリョウ</t>
    </rPh>
    <rPh sb="173" eb="174">
      <t>ノゾ</t>
    </rPh>
    <rPh sb="179" eb="184">
      <t>デンシシリョウスウ</t>
    </rPh>
    <rPh sb="194" eb="195">
      <t>スウ</t>
    </rPh>
    <rPh sb="196" eb="198">
      <t>キニュウ</t>
    </rPh>
    <rPh sb="200" eb="202">
      <t>ドウイツ</t>
    </rPh>
    <rPh sb="216" eb="218">
      <t>フクスウ</t>
    </rPh>
    <rPh sb="220" eb="222">
      <t>バアイ</t>
    </rPh>
    <rPh sb="225" eb="227">
      <t>ケイジョウ</t>
    </rPh>
    <rPh sb="228" eb="231">
      <t>ミドウニュウ</t>
    </rPh>
    <rPh sb="232" eb="234">
      <t>バアイ</t>
    </rPh>
    <rPh sb="239" eb="241">
      <t>キニュウ</t>
    </rPh>
    <rPh sb="244" eb="249">
      <t>デンシシリョウスウ</t>
    </rPh>
    <rPh sb="255" eb="257">
      <t>ザッシ</t>
    </rPh>
    <rPh sb="258" eb="263">
      <t>シチョウカクシリョウ</t>
    </rPh>
    <rPh sb="264" eb="265">
      <t>フク</t>
    </rPh>
    <rPh sb="273" eb="274">
      <t>トウ</t>
    </rPh>
    <rPh sb="275" eb="279">
      <t>ブツリバイタイ</t>
    </rPh>
    <rPh sb="282" eb="284">
      <t>テイキョウ</t>
    </rPh>
    <rPh sb="287" eb="289">
      <t>シリョウ</t>
    </rPh>
    <rPh sb="290" eb="291">
      <t>ノゾ</t>
    </rPh>
    <phoneticPr fontId="2"/>
  </si>
  <si>
    <t>スポーツ施設</t>
    <rPh sb="4" eb="6">
      <t>シセツ</t>
    </rPh>
    <phoneticPr fontId="2"/>
  </si>
  <si>
    <t>・市が設置する有料施設を記入
※項目にない施設についての回答は不要</t>
    <rPh sb="1" eb="2">
      <t>シ</t>
    </rPh>
    <rPh sb="3" eb="5">
      <t>セッチ</t>
    </rPh>
    <rPh sb="16" eb="18">
      <t>コウモク</t>
    </rPh>
    <rPh sb="21" eb="23">
      <t>シセツ</t>
    </rPh>
    <rPh sb="28" eb="30">
      <t>カイトウ</t>
    </rPh>
    <rPh sb="31" eb="33">
      <t>フヨウ</t>
    </rPh>
    <phoneticPr fontId="2"/>
  </si>
  <si>
    <t>文化施設</t>
    <rPh sb="0" eb="2">
      <t>ブンカ</t>
    </rPh>
    <rPh sb="2" eb="4">
      <t>シセツ</t>
    </rPh>
    <phoneticPr fontId="2"/>
  </si>
  <si>
    <t>・「市町村公共施設状況調査」により、Ｎ－１年４月１日現在の数値を記入
・「大ホール収容定員」の計上対象となる大ホールは、定員1,000名程度以上のものを目安とし、大ホールが２つ以上ある場合は定員の合計数を記入</t>
    <rPh sb="21" eb="22">
      <t>ネン</t>
    </rPh>
    <rPh sb="47" eb="49">
      <t>ケイジョウ</t>
    </rPh>
    <rPh sb="49" eb="51">
      <t>タイショウ</t>
    </rPh>
    <rPh sb="54" eb="55">
      <t>ダイ</t>
    </rPh>
    <rPh sb="95" eb="97">
      <t>テイイン</t>
    </rPh>
    <rPh sb="102" eb="104">
      <t>キニュウ</t>
    </rPh>
    <phoneticPr fontId="2"/>
  </si>
  <si>
    <t>放課後児童クラブ</t>
    <rPh sb="0" eb="3">
      <t>ホウカゴ</t>
    </rPh>
    <rPh sb="3" eb="5">
      <t>ジドウ</t>
    </rPh>
    <phoneticPr fontId="2"/>
  </si>
  <si>
    <t>・Ｎ年度放課後児童健全育成事業（放課後児童クラブ）実施状況調査により、Ｎ年５月１日現在の数値を記入。</t>
    <rPh sb="2" eb="4">
      <t>ネンド</t>
    </rPh>
    <rPh sb="4" eb="9">
      <t>ホウカゴジドウ</t>
    </rPh>
    <rPh sb="9" eb="11">
      <t>ケンゼン</t>
    </rPh>
    <rPh sb="11" eb="13">
      <t>イクセイ</t>
    </rPh>
    <rPh sb="13" eb="15">
      <t>ジギョウ</t>
    </rPh>
    <rPh sb="16" eb="19">
      <t>ホウカゴ</t>
    </rPh>
    <rPh sb="19" eb="21">
      <t>ジドウ</t>
    </rPh>
    <rPh sb="25" eb="27">
      <t>ジッシ</t>
    </rPh>
    <rPh sb="27" eb="29">
      <t>ジョウキョウ</t>
    </rPh>
    <rPh sb="29" eb="31">
      <t>チョウサ</t>
    </rPh>
    <rPh sb="36" eb="37">
      <t>ネン</t>
    </rPh>
    <rPh sb="38" eb="39">
      <t>ツキ</t>
    </rPh>
    <rPh sb="40" eb="41">
      <t>ニチ</t>
    </rPh>
    <phoneticPr fontId="2"/>
  </si>
  <si>
    <t>消防施設・活動</t>
    <rPh sb="0" eb="2">
      <t>ショウボウ</t>
    </rPh>
    <rPh sb="2" eb="4">
      <t>シセツ</t>
    </rPh>
    <rPh sb="5" eb="7">
      <t>カツドウ</t>
    </rPh>
    <phoneticPr fontId="2"/>
  </si>
  <si>
    <t>・消防施設数は、Ｎ年４月１日現在の数値を記入
・消防職員数は再任用職員（フルタイムに限る）を含む
・消防車両保有数は緊急車両に限り、非常用車両を含む
・火災発生件数、救急出動件数及び救助出動件数は、Ｎ－１年中の数値を記入
・指定緊急避難場所及び指定避難所は、Ｎ年４月１日現在の数値を記入</t>
    <rPh sb="17" eb="19">
      <t>スウチ</t>
    </rPh>
    <rPh sb="24" eb="29">
      <t>ショウボウショクインスウ</t>
    </rPh>
    <rPh sb="30" eb="35">
      <t>サイニンヨウショクイン</t>
    </rPh>
    <rPh sb="42" eb="43">
      <t>カギ</t>
    </rPh>
    <rPh sb="46" eb="47">
      <t>フク</t>
    </rPh>
    <rPh sb="50" eb="57">
      <t>ショウボウシャリョウホユウスウ</t>
    </rPh>
    <rPh sb="58" eb="62">
      <t>キンキュウシャリョウ</t>
    </rPh>
    <rPh sb="63" eb="64">
      <t>カギ</t>
    </rPh>
    <rPh sb="66" eb="71">
      <t>ヒジョウヨウシャリョウ</t>
    </rPh>
    <rPh sb="72" eb="73">
      <t>フク</t>
    </rPh>
    <rPh sb="83" eb="85">
      <t>キュウキュウ</t>
    </rPh>
    <rPh sb="89" eb="90">
      <t>オヨ</t>
    </rPh>
    <rPh sb="91" eb="93">
      <t>キュウジョ</t>
    </rPh>
    <rPh sb="93" eb="95">
      <t>シュツドウ</t>
    </rPh>
    <rPh sb="95" eb="97">
      <t>ケンスウ</t>
    </rPh>
    <rPh sb="105" eb="107">
      <t>スウチ</t>
    </rPh>
    <rPh sb="108" eb="110">
      <t>キニュウ</t>
    </rPh>
    <rPh sb="138" eb="140">
      <t>スウチ</t>
    </rPh>
    <phoneticPr fontId="2"/>
  </si>
  <si>
    <t>公共施設等</t>
    <rPh sb="0" eb="2">
      <t>コウキョウ</t>
    </rPh>
    <rPh sb="2" eb="4">
      <t>シセツ</t>
    </rPh>
    <rPh sb="4" eb="5">
      <t>トウ</t>
    </rPh>
    <phoneticPr fontId="2"/>
  </si>
  <si>
    <t>・レクリエーション・スポーツ施設：競技場、野球場、体育館、テニスコート、プール等
・産業振興施設：情報提供施設、展示場施設等
・基盤施設：駐車場、公園、水道施設、下水道終末処理場等
・文教施設：市民会館、文化会館、博物館、美術館、自然の家等
・社会福祉施設：病院、老人福祉センター等
・行政財産、普通財産の延べ床面積は、地方自治法第２３３条第１項及び地方自治法施行令第１６６条第２項における財産に関する調書の建物延床面積計（Ｎ年３月３１日現在）</t>
  </si>
  <si>
    <t>Ｎ－１年度
決算
（普通会計）</t>
    <rPh sb="3" eb="5">
      <t>ネンド</t>
    </rPh>
    <rPh sb="6" eb="8">
      <t>ケッサン</t>
    </rPh>
    <phoneticPr fontId="2"/>
  </si>
  <si>
    <t>ⅰ　歳入・歳出等総額
ⅱ　歳入内訳（款別）
ⅲ　歳出内訳（目的別）</t>
    <rPh sb="2" eb="4">
      <t>サイニュウ</t>
    </rPh>
    <rPh sb="5" eb="7">
      <t>サイシュツ</t>
    </rPh>
    <rPh sb="7" eb="8">
      <t>トウ</t>
    </rPh>
    <rPh sb="8" eb="10">
      <t>ソウガク</t>
    </rPh>
    <phoneticPr fontId="2"/>
  </si>
  <si>
    <t>Ｎ－１年度地方財政状況調査より記入</t>
    <rPh sb="3" eb="5">
      <t>ネンド</t>
    </rPh>
    <rPh sb="5" eb="7">
      <t>チホウ</t>
    </rPh>
    <rPh sb="7" eb="9">
      <t>ザイセイ</t>
    </rPh>
    <rPh sb="9" eb="11">
      <t>ジョウキョウ</t>
    </rPh>
    <rPh sb="11" eb="13">
      <t>チョウサ</t>
    </rPh>
    <rPh sb="15" eb="17">
      <t>キニュウ</t>
    </rPh>
    <phoneticPr fontId="2"/>
  </si>
  <si>
    <t>ⅳ　市税内訳
ⅴ　市税徴収率</t>
    <rPh sb="2" eb="4">
      <t>シゼイ</t>
    </rPh>
    <rPh sb="4" eb="6">
      <t>ウチワケ</t>
    </rPh>
    <phoneticPr fontId="2"/>
  </si>
  <si>
    <t>Ｎ－１年度地方財政状況調査より記入
・軽自動車税は、軽自動車税種別割・軽自動車税環境性能割に区分</t>
    <rPh sb="3" eb="5">
      <t>ネンド</t>
    </rPh>
    <rPh sb="5" eb="7">
      <t>チホウ</t>
    </rPh>
    <rPh sb="7" eb="9">
      <t>ザイセイ</t>
    </rPh>
    <rPh sb="9" eb="11">
      <t>ジョウキョウ</t>
    </rPh>
    <rPh sb="11" eb="13">
      <t>チョウサ</t>
    </rPh>
    <rPh sb="15" eb="17">
      <t>キニュウ</t>
    </rPh>
    <rPh sb="19" eb="23">
      <t>ケイジドウシャ</t>
    </rPh>
    <rPh sb="23" eb="24">
      <t>ゼイ</t>
    </rPh>
    <phoneticPr fontId="2"/>
  </si>
  <si>
    <t>１　市　勢</t>
    <rPh sb="2" eb="3">
      <t>イチ</t>
    </rPh>
    <rPh sb="4" eb="5">
      <t>ゼイ</t>
    </rPh>
    <phoneticPr fontId="2"/>
  </si>
  <si>
    <t xml:space="preserve">項目 </t>
    <rPh sb="0" eb="1">
      <t>コウ</t>
    </rPh>
    <rPh sb="1" eb="2">
      <t>メ</t>
    </rPh>
    <phoneticPr fontId="2"/>
  </si>
  <si>
    <t>人　口
(住民基本台帳登録人口)</t>
    <rPh sb="0" eb="1">
      <t>ヒト</t>
    </rPh>
    <rPh sb="2" eb="3">
      <t>クチ</t>
    </rPh>
    <rPh sb="5" eb="7">
      <t>ジュウミン</t>
    </rPh>
    <rPh sb="7" eb="9">
      <t>キホン</t>
    </rPh>
    <rPh sb="9" eb="11">
      <t>ダイチョウ</t>
    </rPh>
    <rPh sb="11" eb="13">
      <t>トウロク</t>
    </rPh>
    <phoneticPr fontId="2"/>
  </si>
  <si>
    <t>自然動態</t>
    <phoneticPr fontId="2"/>
  </si>
  <si>
    <t>社会動態</t>
    <phoneticPr fontId="2"/>
  </si>
  <si>
    <t>世帯数</t>
    <rPh sb="0" eb="3">
      <t>セタイスウ</t>
    </rPh>
    <phoneticPr fontId="2"/>
  </si>
  <si>
    <t>令和2年国勢
調査人口</t>
    <rPh sb="0" eb="2">
      <t>レイワ</t>
    </rPh>
    <rPh sb="3" eb="4">
      <t>ネン</t>
    </rPh>
    <rPh sb="4" eb="6">
      <t>コクセイ</t>
    </rPh>
    <rPh sb="7" eb="9">
      <t>チョウサ</t>
    </rPh>
    <rPh sb="9" eb="11">
      <t>ジンコウ</t>
    </rPh>
    <phoneticPr fontId="2"/>
  </si>
  <si>
    <t>昼夜間
人口比率</t>
    <rPh sb="0" eb="1">
      <t>ヒル</t>
    </rPh>
    <rPh sb="1" eb="3">
      <t>ヤカン</t>
    </rPh>
    <rPh sb="4" eb="6">
      <t>ジンコウ</t>
    </rPh>
    <rPh sb="6" eb="8">
      <t>ヒリツ</t>
    </rPh>
    <phoneticPr fontId="2"/>
  </si>
  <si>
    <t>自治会
加入率</t>
    <rPh sb="0" eb="3">
      <t>ジチカイ</t>
    </rPh>
    <rPh sb="4" eb="6">
      <t>カニュウ</t>
    </rPh>
    <rPh sb="6" eb="7">
      <t>リツ</t>
    </rPh>
    <phoneticPr fontId="2"/>
  </si>
  <si>
    <t>行政区域
面積</t>
    <rPh sb="0" eb="2">
      <t>ギョウセイ</t>
    </rPh>
    <rPh sb="2" eb="4">
      <t>クイキ</t>
    </rPh>
    <rPh sb="5" eb="6">
      <t>メン</t>
    </rPh>
    <rPh sb="6" eb="7">
      <t>セキ</t>
    </rPh>
    <phoneticPr fontId="2"/>
  </si>
  <si>
    <t>線引き都市計画区域</t>
    <rPh sb="0" eb="2">
      <t>センビ</t>
    </rPh>
    <rPh sb="3" eb="5">
      <t>トシ</t>
    </rPh>
    <rPh sb="5" eb="7">
      <t>ケイカク</t>
    </rPh>
    <rPh sb="7" eb="9">
      <t>クイキ</t>
    </rPh>
    <phoneticPr fontId="2"/>
  </si>
  <si>
    <t>非線引き都市計画区域面積</t>
    <rPh sb="0" eb="1">
      <t>ヒ</t>
    </rPh>
    <rPh sb="1" eb="3">
      <t>センビ</t>
    </rPh>
    <rPh sb="4" eb="6">
      <t>トシ</t>
    </rPh>
    <rPh sb="6" eb="8">
      <t>ケイカク</t>
    </rPh>
    <rPh sb="8" eb="10">
      <t>クイキ</t>
    </rPh>
    <rPh sb="10" eb="12">
      <t>メンセキ</t>
    </rPh>
    <phoneticPr fontId="2"/>
  </si>
  <si>
    <t>都市計画区域外面積</t>
    <rPh sb="0" eb="2">
      <t>トシ</t>
    </rPh>
    <rPh sb="2" eb="4">
      <t>ケイカク</t>
    </rPh>
    <rPh sb="4" eb="7">
      <t>クイキガイ</t>
    </rPh>
    <rPh sb="7" eb="9">
      <t>メンセキ</t>
    </rPh>
    <phoneticPr fontId="2"/>
  </si>
  <si>
    <t>都市再生特別措置法に基づく立地適正化計画</t>
    <phoneticPr fontId="2"/>
  </si>
  <si>
    <t>人口密度</t>
    <rPh sb="0" eb="1">
      <t>ヒト</t>
    </rPh>
    <rPh sb="1" eb="2">
      <t>クチ</t>
    </rPh>
    <rPh sb="2" eb="3">
      <t>ミツ</t>
    </rPh>
    <rPh sb="3" eb="4">
      <t>ド</t>
    </rPh>
    <phoneticPr fontId="2"/>
  </si>
  <si>
    <t>人口集中地区</t>
    <rPh sb="0" eb="2">
      <t>ジンコウ</t>
    </rPh>
    <rPh sb="2" eb="4">
      <t>シュウチュウ</t>
    </rPh>
    <rPh sb="4" eb="6">
      <t>チク</t>
    </rPh>
    <phoneticPr fontId="2"/>
  </si>
  <si>
    <t>海外</t>
    <rPh sb="0" eb="1">
      <t>ウミ</t>
    </rPh>
    <rPh sb="1" eb="2">
      <t>ガイ</t>
    </rPh>
    <phoneticPr fontId="2"/>
  </si>
  <si>
    <t>国内</t>
    <rPh sb="0" eb="1">
      <t>クニ</t>
    </rPh>
    <rPh sb="1" eb="2">
      <t>ナイ</t>
    </rPh>
    <phoneticPr fontId="2"/>
  </si>
  <si>
    <t>外国人</t>
    <rPh sb="0" eb="2">
      <t>ガイコク</t>
    </rPh>
    <rPh sb="2" eb="3">
      <t>ジン</t>
    </rPh>
    <phoneticPr fontId="2"/>
  </si>
  <si>
    <t>対前年</t>
    <rPh sb="0" eb="1">
      <t>タイ</t>
    </rPh>
    <rPh sb="1" eb="3">
      <t>ゼンネン</t>
    </rPh>
    <phoneticPr fontId="2"/>
  </si>
  <si>
    <t>0－14歳</t>
    <rPh sb="4" eb="5">
      <t>サイ</t>
    </rPh>
    <phoneticPr fontId="2"/>
  </si>
  <si>
    <t>15－64歳</t>
    <rPh sb="5" eb="6">
      <t>サイ</t>
    </rPh>
    <phoneticPr fontId="2"/>
  </si>
  <si>
    <t>65歳以上</t>
    <rPh sb="2" eb="3">
      <t>サイ</t>
    </rPh>
    <rPh sb="3" eb="5">
      <t>イジョウ</t>
    </rPh>
    <phoneticPr fontId="2"/>
  </si>
  <si>
    <t>出生者(A）</t>
    <rPh sb="0" eb="2">
      <t>シュッセイ</t>
    </rPh>
    <rPh sb="2" eb="3">
      <t>シャ</t>
    </rPh>
    <phoneticPr fontId="2"/>
  </si>
  <si>
    <t>死亡者(B）</t>
    <rPh sb="0" eb="3">
      <t>シボウシャ</t>
    </rPh>
    <phoneticPr fontId="2"/>
  </si>
  <si>
    <t>合計特殊
出生率</t>
    <phoneticPr fontId="2"/>
  </si>
  <si>
    <t>転入者(C）</t>
    <rPh sb="0" eb="3">
      <t>テンニュウシャ</t>
    </rPh>
    <phoneticPr fontId="2"/>
  </si>
  <si>
    <t>転出者(D)</t>
    <rPh sb="0" eb="3">
      <t>テンシュツシャ</t>
    </rPh>
    <phoneticPr fontId="2"/>
  </si>
  <si>
    <t>市街化区域
面積</t>
    <rPh sb="0" eb="3">
      <t>シガイカ</t>
    </rPh>
    <phoneticPr fontId="2"/>
  </si>
  <si>
    <t>市街化区域
人口割合</t>
    <rPh sb="0" eb="3">
      <t>シガイカ</t>
    </rPh>
    <rPh sb="3" eb="5">
      <t>クイキ</t>
    </rPh>
    <rPh sb="6" eb="8">
      <t>ジンコウ</t>
    </rPh>
    <rPh sb="8" eb="10">
      <t>ワリアイ</t>
    </rPh>
    <phoneticPr fontId="2"/>
  </si>
  <si>
    <t>市街化区域
人口密度</t>
  </si>
  <si>
    <t>市街化調整
区域面積</t>
    <rPh sb="0" eb="3">
      <t>シガイカ</t>
    </rPh>
    <phoneticPr fontId="2"/>
  </si>
  <si>
    <t>当該計画公表（変更）日</t>
  </si>
  <si>
    <t>居住誘導区域の面積</t>
  </si>
  <si>
    <t>都市機能誘導区域の
区域数</t>
    <phoneticPr fontId="2"/>
  </si>
  <si>
    <t>都市機能誘導区域の
合計面積</t>
    <phoneticPr fontId="2"/>
  </si>
  <si>
    <t>面積</t>
    <rPh sb="0" eb="2">
      <t>メンセキ</t>
    </rPh>
    <phoneticPr fontId="2"/>
  </si>
  <si>
    <t>人口密度</t>
    <rPh sb="0" eb="2">
      <t>ジンコウ</t>
    </rPh>
    <rPh sb="2" eb="4">
      <t>ミツド</t>
    </rPh>
    <phoneticPr fontId="2"/>
  </si>
  <si>
    <t>姉妹・友好</t>
    <rPh sb="0" eb="2">
      <t>シマイ</t>
    </rPh>
    <rPh sb="3" eb="5">
      <t>ユウコウ</t>
    </rPh>
    <phoneticPr fontId="2"/>
  </si>
  <si>
    <t>人口</t>
    <phoneticPr fontId="2"/>
  </si>
  <si>
    <t>伸び率</t>
    <rPh sb="0" eb="1">
      <t>ノ</t>
    </rPh>
    <rPh sb="2" eb="3">
      <t>リツ</t>
    </rPh>
    <phoneticPr fontId="2"/>
  </si>
  <si>
    <t>人口比率</t>
    <rPh sb="0" eb="2">
      <t>ジンコウ</t>
    </rPh>
    <rPh sb="2" eb="4">
      <t>ヒリツ</t>
    </rPh>
    <phoneticPr fontId="2"/>
  </si>
  <si>
    <t>(Ａ)－(Ｂ)</t>
    <phoneticPr fontId="2"/>
  </si>
  <si>
    <t>(C)－(D)</t>
    <phoneticPr fontId="2"/>
  </si>
  <si>
    <t>都市数</t>
    <rPh sb="0" eb="1">
      <t>ミヤコ</t>
    </rPh>
    <rPh sb="1" eb="2">
      <t>シ</t>
    </rPh>
    <rPh sb="2" eb="3">
      <t>スウ</t>
    </rPh>
    <phoneticPr fontId="2"/>
  </si>
  <si>
    <t xml:space="preserve"> 市名</t>
    <rPh sb="1" eb="2">
      <t>シ</t>
    </rPh>
    <rPh sb="2" eb="3">
      <t>メイ</t>
    </rPh>
    <phoneticPr fontId="2"/>
  </si>
  <si>
    <t>人</t>
    <rPh sb="0" eb="1">
      <t>ヒト</t>
    </rPh>
    <phoneticPr fontId="2"/>
  </si>
  <si>
    <t>人</t>
    <phoneticPr fontId="2"/>
  </si>
  <si>
    <t>％</t>
    <phoneticPr fontId="2"/>
  </si>
  <si>
    <t>世帯</t>
    <rPh sb="0" eb="2">
      <t>セタイ</t>
    </rPh>
    <phoneticPr fontId="2"/>
  </si>
  <si>
    <t>％</t>
  </si>
  <si>
    <t>%</t>
    <phoneticPr fontId="2"/>
  </si>
  <si>
    <t>㎢</t>
    <phoneticPr fontId="2"/>
  </si>
  <si>
    <t>人/㎢</t>
    <rPh sb="0" eb="1">
      <t>ヒト</t>
    </rPh>
    <phoneticPr fontId="2"/>
  </si>
  <si>
    <t>年月日（和暦）</t>
    <rPh sb="0" eb="3">
      <t>ネンガッピ</t>
    </rPh>
    <rPh sb="4" eb="6">
      <t>ワレキ</t>
    </rPh>
    <phoneticPr fontId="2"/>
  </si>
  <si>
    <t>ha</t>
    <phoneticPr fontId="2"/>
  </si>
  <si>
    <t>人/㎢</t>
    <phoneticPr fontId="2"/>
  </si>
  <si>
    <t>箇所</t>
    <phoneticPr fontId="2"/>
  </si>
  <si>
    <t>函館市</t>
  </si>
  <si>
    <t>-</t>
  </si>
  <si>
    <t>旭川市</t>
  </si>
  <si>
    <t>青森市</t>
  </si>
  <si>
    <t>平成30年3月30日（平成31年3月29日）（令和2年3月31日）</t>
    <rPh sb="0" eb="2">
      <t>ヘイセイ</t>
    </rPh>
    <rPh sb="4" eb="5">
      <t>ネン</t>
    </rPh>
    <rPh sb="6" eb="7">
      <t>ガツ</t>
    </rPh>
    <rPh sb="9" eb="10">
      <t>ニチ</t>
    </rPh>
    <rPh sb="11" eb="13">
      <t>ヘイセイ</t>
    </rPh>
    <rPh sb="15" eb="16">
      <t>ネン</t>
    </rPh>
    <rPh sb="17" eb="18">
      <t>ガツ</t>
    </rPh>
    <rPh sb="20" eb="21">
      <t>ニチ</t>
    </rPh>
    <rPh sb="23" eb="25">
      <t>レイワ</t>
    </rPh>
    <rPh sb="26" eb="27">
      <t>ネン</t>
    </rPh>
    <rPh sb="28" eb="29">
      <t>ガツ</t>
    </rPh>
    <rPh sb="31" eb="32">
      <t>ニチ</t>
    </rPh>
    <phoneticPr fontId="2"/>
  </si>
  <si>
    <t>八戸市</t>
    <rPh sb="0" eb="2">
      <t>ハチノヘ</t>
    </rPh>
    <phoneticPr fontId="2"/>
  </si>
  <si>
    <t>-</t>
    <phoneticPr fontId="2"/>
  </si>
  <si>
    <t>盛岡市</t>
  </si>
  <si>
    <t>秋田市</t>
  </si>
  <si>
    <t>山形市</t>
    <rPh sb="0" eb="3">
      <t>ヤマガタシ</t>
    </rPh>
    <phoneticPr fontId="2"/>
  </si>
  <si>
    <t>福島市</t>
    <rPh sb="0" eb="3">
      <t>フクシマシ</t>
    </rPh>
    <phoneticPr fontId="2"/>
  </si>
  <si>
    <t>郡山市</t>
  </si>
  <si>
    <t>平成31年3月31日（令和3年3月31日）</t>
    <rPh sb="0" eb="2">
      <t>ヘイセイ</t>
    </rPh>
    <rPh sb="4" eb="5">
      <t>ネン</t>
    </rPh>
    <rPh sb="6" eb="7">
      <t>ガツ</t>
    </rPh>
    <rPh sb="9" eb="10">
      <t>ニチ</t>
    </rPh>
    <rPh sb="11" eb="13">
      <t>レイワ</t>
    </rPh>
    <rPh sb="14" eb="15">
      <t>ネン</t>
    </rPh>
    <rPh sb="16" eb="17">
      <t>ガツ</t>
    </rPh>
    <rPh sb="19" eb="20">
      <t>ニチ</t>
    </rPh>
    <phoneticPr fontId="2"/>
  </si>
  <si>
    <t>いわき市</t>
  </si>
  <si>
    <t>令和1年10月8日（令和3年2月22日、令和4年11月30日）</t>
    <rPh sb="0" eb="2">
      <t>レイワ</t>
    </rPh>
    <rPh sb="3" eb="4">
      <t>ネン</t>
    </rPh>
    <rPh sb="6" eb="7">
      <t>ガツ</t>
    </rPh>
    <rPh sb="8" eb="9">
      <t>ニチ</t>
    </rPh>
    <rPh sb="10" eb="12">
      <t>レイワ</t>
    </rPh>
    <rPh sb="13" eb="14">
      <t>ネン</t>
    </rPh>
    <rPh sb="15" eb="16">
      <t>ガツ</t>
    </rPh>
    <rPh sb="18" eb="19">
      <t>ニチ</t>
    </rPh>
    <rPh sb="20" eb="22">
      <t>レイワ</t>
    </rPh>
    <rPh sb="23" eb="24">
      <t>ネン</t>
    </rPh>
    <rPh sb="26" eb="27">
      <t>ガツ</t>
    </rPh>
    <rPh sb="29" eb="30">
      <t>ニチ</t>
    </rPh>
    <phoneticPr fontId="2"/>
  </si>
  <si>
    <t>水戸市</t>
    <rPh sb="0" eb="3">
      <t>ミトシ</t>
    </rPh>
    <phoneticPr fontId="2"/>
  </si>
  <si>
    <t>平成29年3月31日（平成31年3月29日）</t>
    <rPh sb="0" eb="2">
      <t>ヘイセイ</t>
    </rPh>
    <rPh sb="4" eb="5">
      <t>ネン</t>
    </rPh>
    <rPh sb="6" eb="7">
      <t>ガツ</t>
    </rPh>
    <rPh sb="9" eb="10">
      <t>ヒ</t>
    </rPh>
    <rPh sb="11" eb="13">
      <t>ヘイセイ</t>
    </rPh>
    <rPh sb="15" eb="16">
      <t>ネン</t>
    </rPh>
    <rPh sb="17" eb="18">
      <t>ガツ</t>
    </rPh>
    <rPh sb="20" eb="21">
      <t>ヒ</t>
    </rPh>
    <phoneticPr fontId="2"/>
  </si>
  <si>
    <t>宇都宮市</t>
  </si>
  <si>
    <t>101,8</t>
  </si>
  <si>
    <t>前橋市</t>
  </si>
  <si>
    <t>高崎市</t>
  </si>
  <si>
    <t>195.7</t>
    <phoneticPr fontId="2"/>
  </si>
  <si>
    <t>127.01</t>
    <phoneticPr fontId="2"/>
  </si>
  <si>
    <t>令和2年3月31日</t>
    <rPh sb="0" eb="2">
      <t>レイワ</t>
    </rPh>
    <rPh sb="3" eb="4">
      <t>ネン</t>
    </rPh>
    <rPh sb="5" eb="6">
      <t>ガツ</t>
    </rPh>
    <rPh sb="8" eb="9">
      <t>ニチ</t>
    </rPh>
    <phoneticPr fontId="2"/>
  </si>
  <si>
    <t>2824</t>
    <phoneticPr fontId="2"/>
  </si>
  <si>
    <t>674</t>
    <phoneticPr fontId="2"/>
  </si>
  <si>
    <t>川越市</t>
  </si>
  <si>
    <t>平成30年12月25日</t>
    <rPh sb="0" eb="2">
      <t>ヘイセイ</t>
    </rPh>
    <rPh sb="4" eb="5">
      <t>ネン</t>
    </rPh>
    <rPh sb="7" eb="8">
      <t>ガツ</t>
    </rPh>
    <rPh sb="10" eb="11">
      <t>ニチ</t>
    </rPh>
    <phoneticPr fontId="2"/>
  </si>
  <si>
    <t>2511.6</t>
  </si>
  <si>
    <t>709</t>
  </si>
  <si>
    <t>川口市</t>
    <rPh sb="0" eb="3">
      <t>カワグチシ</t>
    </rPh>
    <phoneticPr fontId="2"/>
  </si>
  <si>
    <t>越谷市</t>
  </si>
  <si>
    <t>船橋市</t>
  </si>
  <si>
    <t>策定中</t>
    <rPh sb="0" eb="3">
      <t>サクテイチュウ</t>
    </rPh>
    <phoneticPr fontId="2"/>
  </si>
  <si>
    <t>…</t>
  </si>
  <si>
    <t>柏市</t>
  </si>
  <si>
    <t>平成30年4月1日(令和4年4月1日)</t>
    <rPh sb="0" eb="2">
      <t>ヘイセイ</t>
    </rPh>
    <rPh sb="4" eb="5">
      <t>ネン</t>
    </rPh>
    <rPh sb="6" eb="7">
      <t>ガツ</t>
    </rPh>
    <rPh sb="8" eb="9">
      <t>ニチ</t>
    </rPh>
    <rPh sb="10" eb="12">
      <t>レイワ</t>
    </rPh>
    <rPh sb="13" eb="14">
      <t>ネン</t>
    </rPh>
    <rPh sb="15" eb="16">
      <t>ガツ</t>
    </rPh>
    <rPh sb="17" eb="18">
      <t>ニチ</t>
    </rPh>
    <phoneticPr fontId="2"/>
  </si>
  <si>
    <t>八王子市</t>
  </si>
  <si>
    <t>…</t>
    <phoneticPr fontId="2"/>
  </si>
  <si>
    <t>横須賀市</t>
  </si>
  <si>
    <t>富山市</t>
  </si>
  <si>
    <t>平成29年3月31日（令和元年11月29日）</t>
    <rPh sb="0" eb="1">
      <t>ヘイセイ</t>
    </rPh>
    <rPh sb="3" eb="4">
      <t>ネン</t>
    </rPh>
    <rPh sb="5" eb="6">
      <t>ガツ</t>
    </rPh>
    <rPh sb="8" eb="9">
      <t>ニチ</t>
    </rPh>
    <rPh sb="10" eb="14">
      <t>レイワガンネン</t>
    </rPh>
    <rPh sb="16" eb="17">
      <t>ガツ</t>
    </rPh>
    <rPh sb="19" eb="20">
      <t>ニチ</t>
    </rPh>
    <phoneticPr fontId="2"/>
  </si>
  <si>
    <t>金沢市</t>
    <phoneticPr fontId="2"/>
  </si>
  <si>
    <t>福井市</t>
    <rPh sb="0" eb="3">
      <t>フクイシ</t>
    </rPh>
    <phoneticPr fontId="2"/>
  </si>
  <si>
    <t>平成29年3月31日（策定）、平成31年3月29日（改訂）</t>
    <rPh sb="0" eb="2">
      <t>ヘイセイ</t>
    </rPh>
    <rPh sb="4" eb="5">
      <t>ネン</t>
    </rPh>
    <rPh sb="6" eb="7">
      <t>ガツ</t>
    </rPh>
    <rPh sb="9" eb="10">
      <t>ニチ</t>
    </rPh>
    <rPh sb="11" eb="13">
      <t>サクテイ</t>
    </rPh>
    <rPh sb="15" eb="17">
      <t>ヘイセイ</t>
    </rPh>
    <rPh sb="19" eb="20">
      <t>ネン</t>
    </rPh>
    <rPh sb="21" eb="22">
      <t>ガツ</t>
    </rPh>
    <rPh sb="24" eb="25">
      <t>ニチ</t>
    </rPh>
    <rPh sb="26" eb="28">
      <t>カイテイ</t>
    </rPh>
    <phoneticPr fontId="2"/>
  </si>
  <si>
    <t>甲府市</t>
    <rPh sb="0" eb="3">
      <t>コウフシ</t>
    </rPh>
    <phoneticPr fontId="2"/>
  </si>
  <si>
    <t>長野市</t>
  </si>
  <si>
    <t>令和４年９月16日公告</t>
    <phoneticPr fontId="2"/>
  </si>
  <si>
    <t>松本市</t>
    <rPh sb="0" eb="2">
      <t>マツモト</t>
    </rPh>
    <rPh sb="2" eb="3">
      <t>シ</t>
    </rPh>
    <phoneticPr fontId="2"/>
  </si>
  <si>
    <t>岐阜市</t>
  </si>
  <si>
    <t>豊橋市</t>
  </si>
  <si>
    <t>岡崎市</t>
  </si>
  <si>
    <t>一宮市</t>
    <rPh sb="0" eb="2">
      <t>イチノミヤ</t>
    </rPh>
    <phoneticPr fontId="2"/>
  </si>
  <si>
    <t>－</t>
    <phoneticPr fontId="2"/>
  </si>
  <si>
    <t>豊田市</t>
  </si>
  <si>
    <t>－</t>
  </si>
  <si>
    <t>大津市</t>
  </si>
  <si>
    <t>豊中市</t>
  </si>
  <si>
    <t>吹田市</t>
    <rPh sb="0" eb="3">
      <t>スイタシ</t>
    </rPh>
    <phoneticPr fontId="2"/>
  </si>
  <si>
    <t>△553</t>
    <phoneticPr fontId="2"/>
  </si>
  <si>
    <t>平成31年3月29日(令和4年3月31日)</t>
  </si>
  <si>
    <t>高槻市</t>
  </si>
  <si>
    <t>枚方市</t>
  </si>
  <si>
    <t>平成29年3月31日（令和4年3月1日）</t>
    <rPh sb="0" eb="2">
      <t>ヘイセイ</t>
    </rPh>
    <rPh sb="4" eb="5">
      <t>ネン</t>
    </rPh>
    <rPh sb="6" eb="7">
      <t>ガツ</t>
    </rPh>
    <rPh sb="9" eb="10">
      <t>ニチ</t>
    </rPh>
    <rPh sb="11" eb="13">
      <t>レイワ</t>
    </rPh>
    <rPh sb="14" eb="15">
      <t>ネン</t>
    </rPh>
    <rPh sb="16" eb="17">
      <t>ガツ</t>
    </rPh>
    <rPh sb="18" eb="19">
      <t>ニチ</t>
    </rPh>
    <phoneticPr fontId="2"/>
  </si>
  <si>
    <t>八尾市</t>
    <rPh sb="0" eb="3">
      <t>ヤオシ</t>
    </rPh>
    <phoneticPr fontId="2"/>
  </si>
  <si>
    <t>平成30年3月30日（令和4年3月31日）</t>
  </si>
  <si>
    <t xml:space="preserve">2503 .8 </t>
  </si>
  <si>
    <t>寝屋川市</t>
    <rPh sb="0" eb="4">
      <t>ネヤガワシ</t>
    </rPh>
    <phoneticPr fontId="2"/>
  </si>
  <si>
    <t>東大阪市</t>
  </si>
  <si>
    <t>姫路市</t>
  </si>
  <si>
    <t>平成30年3月30日（令和3年10月1日）</t>
    <rPh sb="0" eb="2">
      <t>ヘイセイ</t>
    </rPh>
    <rPh sb="4" eb="5">
      <t>ネン</t>
    </rPh>
    <rPh sb="6" eb="7">
      <t>ツキ</t>
    </rPh>
    <rPh sb="9" eb="10">
      <t>ニチ</t>
    </rPh>
    <rPh sb="11" eb="13">
      <t>レイワ</t>
    </rPh>
    <rPh sb="14" eb="15">
      <t>ネン</t>
    </rPh>
    <rPh sb="17" eb="18">
      <t>ツキ</t>
    </rPh>
    <rPh sb="19" eb="20">
      <t>ニチ</t>
    </rPh>
    <phoneticPr fontId="2"/>
  </si>
  <si>
    <t>尼崎市</t>
  </si>
  <si>
    <t>明石市</t>
    <rPh sb="0" eb="3">
      <t>アカシシ</t>
    </rPh>
    <phoneticPr fontId="2"/>
  </si>
  <si>
    <t>西宮市</t>
  </si>
  <si>
    <t>奈良市</t>
  </si>
  <si>
    <t>△0.6</t>
  </si>
  <si>
    <t>和歌山市</t>
  </si>
  <si>
    <t>鳥取市</t>
    <rPh sb="0" eb="3">
      <t>トットリシ</t>
    </rPh>
    <phoneticPr fontId="2"/>
  </si>
  <si>
    <t>松江市</t>
    <rPh sb="0" eb="3">
      <t>マツエシ</t>
    </rPh>
    <phoneticPr fontId="2"/>
  </si>
  <si>
    <t>倉敷市</t>
  </si>
  <si>
    <t>呉市</t>
    <rPh sb="0" eb="2">
      <t>クレシ</t>
    </rPh>
    <phoneticPr fontId="2"/>
  </si>
  <si>
    <t>福山市</t>
  </si>
  <si>
    <t>下関市</t>
  </si>
  <si>
    <t>高松市</t>
  </si>
  <si>
    <t>松山市</t>
  </si>
  <si>
    <t>高知市</t>
  </si>
  <si>
    <t>平成29年４月１日（令和３年12月23日）</t>
    <rPh sb="0" eb="2">
      <t>ヘイセイ</t>
    </rPh>
    <rPh sb="4" eb="5">
      <t>ネン</t>
    </rPh>
    <rPh sb="6" eb="7">
      <t>ガツ</t>
    </rPh>
    <rPh sb="8" eb="9">
      <t>ニチ</t>
    </rPh>
    <rPh sb="10" eb="12">
      <t>レイワ</t>
    </rPh>
    <rPh sb="13" eb="14">
      <t>ネン</t>
    </rPh>
    <rPh sb="16" eb="17">
      <t>ガツ</t>
    </rPh>
    <rPh sb="19" eb="20">
      <t>ニチ</t>
    </rPh>
    <phoneticPr fontId="2"/>
  </si>
  <si>
    <t>久留米市</t>
  </si>
  <si>
    <t>平成29年3月31日（令和2年3月2日）（令和3年9月15日）</t>
    <rPh sb="0" eb="2">
      <t>ヘイセイ</t>
    </rPh>
    <rPh sb="4" eb="5">
      <t>ネン</t>
    </rPh>
    <rPh sb="6" eb="7">
      <t>ガツ</t>
    </rPh>
    <rPh sb="9" eb="10">
      <t>ニチ</t>
    </rPh>
    <rPh sb="11" eb="13">
      <t>レイワ</t>
    </rPh>
    <rPh sb="14" eb="15">
      <t>ネン</t>
    </rPh>
    <rPh sb="16" eb="17">
      <t>ガツ</t>
    </rPh>
    <rPh sb="18" eb="19">
      <t>ニチ</t>
    </rPh>
    <rPh sb="21" eb="23">
      <t>レイワ</t>
    </rPh>
    <rPh sb="24" eb="25">
      <t>ネン</t>
    </rPh>
    <rPh sb="26" eb="27">
      <t>ガツ</t>
    </rPh>
    <rPh sb="29" eb="30">
      <t>ニチ</t>
    </rPh>
    <phoneticPr fontId="2"/>
  </si>
  <si>
    <t>長崎市</t>
  </si>
  <si>
    <t>佐世保市</t>
    <rPh sb="0" eb="4">
      <t>サセボシ</t>
    </rPh>
    <phoneticPr fontId="2"/>
  </si>
  <si>
    <t>大分市</t>
  </si>
  <si>
    <t>宮崎市</t>
  </si>
  <si>
    <t>令和2年6月22日（令和5年3月31日）</t>
    <rPh sb="0" eb="2">
      <t>レイワ</t>
    </rPh>
    <rPh sb="3" eb="4">
      <t>ネン</t>
    </rPh>
    <rPh sb="5" eb="6">
      <t>ガツ</t>
    </rPh>
    <rPh sb="8" eb="9">
      <t>ニチ</t>
    </rPh>
    <rPh sb="10" eb="12">
      <t>レイワ</t>
    </rPh>
    <rPh sb="13" eb="14">
      <t>ネン</t>
    </rPh>
    <rPh sb="15" eb="16">
      <t>ガツ</t>
    </rPh>
    <rPh sb="18" eb="19">
      <t>ニチ</t>
    </rPh>
    <phoneticPr fontId="85"/>
  </si>
  <si>
    <t>鹿児島市</t>
  </si>
  <si>
    <t>平成29年3月31日（令和3年9月15日）</t>
  </si>
  <si>
    <t>那覇市</t>
  </si>
  <si>
    <t>合　計</t>
    <rPh sb="0" eb="1">
      <t>ゴウ</t>
    </rPh>
    <rPh sb="2" eb="3">
      <t>ケイ</t>
    </rPh>
    <phoneticPr fontId="2"/>
  </si>
  <si>
    <t>平　均</t>
    <rPh sb="0" eb="1">
      <t>ヘイ</t>
    </rPh>
    <rPh sb="2" eb="3">
      <t>ヒトシ</t>
    </rPh>
    <phoneticPr fontId="2"/>
  </si>
  <si>
    <t>備考</t>
    <rPh sb="0" eb="2">
      <t>ビコウ</t>
    </rPh>
    <phoneticPr fontId="2"/>
  </si>
  <si>
    <t>□長野市の[人口（住民基本台帳登録人口）]に係る数値は令和５年４月１日現在の数値。</t>
    <rPh sb="1" eb="4">
      <t>ナガノシ</t>
    </rPh>
    <rPh sb="6" eb="8">
      <t>ジンコウ</t>
    </rPh>
    <rPh sb="9" eb="15">
      <t>ジュウミンキホンダイチョウ</t>
    </rPh>
    <rPh sb="15" eb="19">
      <t>トウロクジンコウ</t>
    </rPh>
    <rPh sb="22" eb="23">
      <t>カカ</t>
    </rPh>
    <rPh sb="24" eb="26">
      <t>スウチ</t>
    </rPh>
    <rPh sb="27" eb="29">
      <t>レイワ</t>
    </rPh>
    <rPh sb="30" eb="31">
      <t>ネン</t>
    </rPh>
    <rPh sb="32" eb="33">
      <t>ガツ</t>
    </rPh>
    <rPh sb="34" eb="35">
      <t>ニチ</t>
    </rPh>
    <rPh sb="35" eb="37">
      <t>ゲンザイ</t>
    </rPh>
    <rPh sb="38" eb="40">
      <t>スウチ</t>
    </rPh>
    <phoneticPr fontId="2"/>
  </si>
  <si>
    <t>□[自治会加入率]の基準日は八戸市は令和４年４月１日現在、水戸市は令和５年１月１日現在、鳥取市は令和５年５月３１日現在。</t>
    <rPh sb="2" eb="5">
      <t>ジチカイ</t>
    </rPh>
    <rPh sb="5" eb="8">
      <t>カニュウリツ</t>
    </rPh>
    <rPh sb="10" eb="13">
      <t>キジュンビ</t>
    </rPh>
    <rPh sb="14" eb="17">
      <t>ハチノヘシ</t>
    </rPh>
    <rPh sb="18" eb="20">
      <t>レイワ</t>
    </rPh>
    <rPh sb="21" eb="22">
      <t>ネン</t>
    </rPh>
    <rPh sb="23" eb="24">
      <t>ガツ</t>
    </rPh>
    <rPh sb="25" eb="26">
      <t>ニチ</t>
    </rPh>
    <rPh sb="26" eb="28">
      <t>ゲンザイ</t>
    </rPh>
    <rPh sb="29" eb="32">
      <t>ミトシ</t>
    </rPh>
    <rPh sb="33" eb="35">
      <t>レイワ</t>
    </rPh>
    <rPh sb="36" eb="37">
      <t>ネン</t>
    </rPh>
    <rPh sb="38" eb="39">
      <t>ガツ</t>
    </rPh>
    <rPh sb="40" eb="41">
      <t>ニチ</t>
    </rPh>
    <rPh sb="41" eb="43">
      <t>ゲンザイ</t>
    </rPh>
    <rPh sb="44" eb="47">
      <t>トットリシ</t>
    </rPh>
    <rPh sb="48" eb="50">
      <t>レイワ</t>
    </rPh>
    <rPh sb="51" eb="52">
      <t>ネン</t>
    </rPh>
    <rPh sb="53" eb="54">
      <t>ガツ</t>
    </rPh>
    <rPh sb="56" eb="57">
      <t>ニチ</t>
    </rPh>
    <rPh sb="57" eb="59">
      <t>ゲンザイ</t>
    </rPh>
    <phoneticPr fontId="2"/>
  </si>
  <si>
    <t>□旭川市、横須賀市の市街化区域人口割合は令和2年国勢調査の数値。</t>
    <rPh sb="1" eb="4">
      <t>アサヒカワシ</t>
    </rPh>
    <rPh sb="5" eb="9">
      <t>ヨコスカシ</t>
    </rPh>
    <rPh sb="10" eb="15">
      <t>シガイカクイキ</t>
    </rPh>
    <rPh sb="15" eb="19">
      <t>ジンコウワリアイ</t>
    </rPh>
    <rPh sb="20" eb="22">
      <t>レイワ</t>
    </rPh>
    <rPh sb="23" eb="24">
      <t>ネン</t>
    </rPh>
    <rPh sb="24" eb="28">
      <t>コクセイチョウサ</t>
    </rPh>
    <rPh sb="29" eb="31">
      <t>スウチ</t>
    </rPh>
    <phoneticPr fontId="2"/>
  </si>
  <si>
    <t>□長野市の人口密度は令和５年４月１日現在。</t>
    <rPh sb="1" eb="4">
      <t>ナガノシ</t>
    </rPh>
    <rPh sb="5" eb="9">
      <t>ジンコウミツド</t>
    </rPh>
    <rPh sb="10" eb="12">
      <t>レイワ</t>
    </rPh>
    <rPh sb="13" eb="14">
      <t>ネン</t>
    </rPh>
    <rPh sb="15" eb="16">
      <t>ガツ</t>
    </rPh>
    <rPh sb="17" eb="20">
      <t>ニチゲンザイ</t>
    </rPh>
    <phoneticPr fontId="2"/>
  </si>
  <si>
    <t>□長野市の[世帯数]は令和５年４月１日現在の数値。</t>
    <rPh sb="1" eb="4">
      <t>ナガノシ</t>
    </rPh>
    <rPh sb="6" eb="9">
      <t>セタイスウ</t>
    </rPh>
    <rPh sb="11" eb="13">
      <t>レイワ</t>
    </rPh>
    <rPh sb="14" eb="15">
      <t>ネン</t>
    </rPh>
    <rPh sb="16" eb="17">
      <t>ガツ</t>
    </rPh>
    <rPh sb="18" eb="19">
      <t>ニチ</t>
    </rPh>
    <rPh sb="19" eb="21">
      <t>ゲンザイ</t>
    </rPh>
    <rPh sb="22" eb="24">
      <t>スウチ</t>
    </rPh>
    <phoneticPr fontId="2"/>
  </si>
  <si>
    <t>□横須賀市の市街化区域人口密度は令和２年国勢調査の市街化区域人口を平成30年１月31日現在の市街化区域面積で除した数値。</t>
    <rPh sb="1" eb="5">
      <t>ヨコスカシ</t>
    </rPh>
    <rPh sb="6" eb="11">
      <t>シガイカクイキ</t>
    </rPh>
    <rPh sb="11" eb="15">
      <t>ジンコウミツド</t>
    </rPh>
    <phoneticPr fontId="2"/>
  </si>
  <si>
    <t>２　職員数及び職員給料等</t>
    <rPh sb="2" eb="5">
      <t>ショクインスウ</t>
    </rPh>
    <rPh sb="5" eb="6">
      <t>オヨ</t>
    </rPh>
    <rPh sb="7" eb="9">
      <t>ショクイン</t>
    </rPh>
    <rPh sb="9" eb="11">
      <t>キュウリョウ</t>
    </rPh>
    <rPh sb="11" eb="12">
      <t>トウ</t>
    </rPh>
    <phoneticPr fontId="2"/>
  </si>
  <si>
    <t>職員総数</t>
    <rPh sb="0" eb="2">
      <t>ショクイン</t>
    </rPh>
    <rPh sb="2" eb="4">
      <t>ソウスウ</t>
    </rPh>
    <phoneticPr fontId="2"/>
  </si>
  <si>
    <t>一般行政職員</t>
    <rPh sb="0" eb="2">
      <t>イッパン</t>
    </rPh>
    <rPh sb="2" eb="4">
      <t>ギョウセイ</t>
    </rPh>
    <rPh sb="4" eb="5">
      <t>ショク</t>
    </rPh>
    <rPh sb="5" eb="6">
      <t>イン</t>
    </rPh>
    <phoneticPr fontId="2"/>
  </si>
  <si>
    <t>ラスパイレス指数</t>
    <rPh sb="6" eb="8">
      <t>シスウ</t>
    </rPh>
    <phoneticPr fontId="2"/>
  </si>
  <si>
    <t>審議会等の
女性参画率</t>
    <rPh sb="0" eb="3">
      <t>シンギカイ</t>
    </rPh>
    <rPh sb="3" eb="4">
      <t>トウ</t>
    </rPh>
    <rPh sb="6" eb="8">
      <t>ジョセイ</t>
    </rPh>
    <rPh sb="8" eb="10">
      <t>サンカク</t>
    </rPh>
    <rPh sb="10" eb="11">
      <t>リツ</t>
    </rPh>
    <phoneticPr fontId="2"/>
  </si>
  <si>
    <t>管理職の女性比率</t>
    <rPh sb="0" eb="2">
      <t>カンリ</t>
    </rPh>
    <rPh sb="2" eb="3">
      <t>ショク</t>
    </rPh>
    <rPh sb="4" eb="6">
      <t>ジョセイ</t>
    </rPh>
    <rPh sb="6" eb="8">
      <t>ヒリツ</t>
    </rPh>
    <phoneticPr fontId="2"/>
  </si>
  <si>
    <t>対前年度
伸び率</t>
    <rPh sb="0" eb="1">
      <t>タイ</t>
    </rPh>
    <rPh sb="1" eb="4">
      <t>ゼンネンド</t>
    </rPh>
    <phoneticPr fontId="2"/>
  </si>
  <si>
    <t>平均年齢</t>
    <rPh sb="0" eb="1">
      <t>ヒラ</t>
    </rPh>
    <rPh sb="1" eb="2">
      <t>タモツ</t>
    </rPh>
    <rPh sb="2" eb="3">
      <t>トシ</t>
    </rPh>
    <rPh sb="3" eb="4">
      <t>ヨワイ</t>
    </rPh>
    <phoneticPr fontId="2"/>
  </si>
  <si>
    <t>平均
給料月額</t>
    <rPh sb="0" eb="2">
      <t>ヘイキン</t>
    </rPh>
    <phoneticPr fontId="2"/>
  </si>
  <si>
    <t>うち一般行政職</t>
    <rPh sb="2" eb="4">
      <t>イッパン</t>
    </rPh>
    <rPh sb="4" eb="6">
      <t>ギョウセイ</t>
    </rPh>
    <rPh sb="6" eb="7">
      <t>ショク</t>
    </rPh>
    <phoneticPr fontId="2"/>
  </si>
  <si>
    <t>職員数</t>
  </si>
  <si>
    <t>市民千人当たり</t>
    <rPh sb="0" eb="2">
      <t>シミン</t>
    </rPh>
    <rPh sb="2" eb="4">
      <t>センニン</t>
    </rPh>
    <phoneticPr fontId="2"/>
  </si>
  <si>
    <t>歳</t>
    <rPh sb="0" eb="1">
      <t>トシ</t>
    </rPh>
    <phoneticPr fontId="2"/>
  </si>
  <si>
    <t>円</t>
    <rPh sb="0" eb="1">
      <t>エン</t>
    </rPh>
    <phoneticPr fontId="2"/>
  </si>
  <si>
    <t>川口市</t>
  </si>
  <si>
    <t>△ 1.4</t>
  </si>
  <si>
    <t>金沢市</t>
  </si>
  <si>
    <t>福井市</t>
  </si>
  <si>
    <t>甲府市</t>
  </si>
  <si>
    <t>松本市</t>
    <rPh sb="0" eb="2">
      <t>マツモト</t>
    </rPh>
    <phoneticPr fontId="2"/>
  </si>
  <si>
    <t>八尾市</t>
  </si>
  <si>
    <t>寝屋川市</t>
  </si>
  <si>
    <t>明石市</t>
  </si>
  <si>
    <t>鳥取市</t>
  </si>
  <si>
    <t>松江市</t>
  </si>
  <si>
    <t>呉市</t>
  </si>
  <si>
    <t>佐世保市</t>
  </si>
  <si>
    <t>□西宮市の[審議会等の女性参画率]は令和４年８月１日現在の数値。</t>
    <rPh sb="1" eb="4">
      <t>ニシノミヤシ</t>
    </rPh>
    <rPh sb="6" eb="10">
      <t>シンギカイトウ</t>
    </rPh>
    <rPh sb="11" eb="13">
      <t>ジョセイ</t>
    </rPh>
    <rPh sb="13" eb="16">
      <t>サンカクリツ</t>
    </rPh>
    <rPh sb="18" eb="20">
      <t>レイワ</t>
    </rPh>
    <rPh sb="21" eb="22">
      <t>ネン</t>
    </rPh>
    <rPh sb="23" eb="24">
      <t>ガツ</t>
    </rPh>
    <rPh sb="25" eb="26">
      <t>ニチ</t>
    </rPh>
    <rPh sb="26" eb="28">
      <t>ゲンザイ</t>
    </rPh>
    <rPh sb="29" eb="31">
      <t>スウチ</t>
    </rPh>
    <phoneticPr fontId="2"/>
  </si>
  <si>
    <t>３　保健・福祉</t>
    <rPh sb="2" eb="4">
      <t>ホケン</t>
    </rPh>
    <phoneticPr fontId="2"/>
  </si>
  <si>
    <t>《生活保護》</t>
    <rPh sb="1" eb="3">
      <t>セイカツ</t>
    </rPh>
    <rPh sb="3" eb="5">
      <t>ホゴ</t>
    </rPh>
    <phoneticPr fontId="2"/>
  </si>
  <si>
    <r>
      <t>《高齢者福祉施設等》</t>
    </r>
    <r>
      <rPr>
        <b/>
        <sz val="12"/>
        <color theme="1"/>
        <rFont val="ＭＳ Ｐゴシック"/>
        <family val="3"/>
        <charset val="128"/>
      </rPr>
      <t>（公立・私立を含む）</t>
    </r>
    <rPh sb="1" eb="4">
      <t>コウレイシャ</t>
    </rPh>
    <rPh sb="4" eb="6">
      <t>フクシ</t>
    </rPh>
    <rPh sb="6" eb="8">
      <t>シセツ</t>
    </rPh>
    <rPh sb="8" eb="9">
      <t>トウ</t>
    </rPh>
    <rPh sb="11" eb="12">
      <t>コウ</t>
    </rPh>
    <rPh sb="12" eb="13">
      <t>リツ</t>
    </rPh>
    <rPh sb="14" eb="16">
      <t>シリツ</t>
    </rPh>
    <rPh sb="17" eb="18">
      <t>フク</t>
    </rPh>
    <phoneticPr fontId="2"/>
  </si>
  <si>
    <t>《介護保険》</t>
    <phoneticPr fontId="2"/>
  </si>
  <si>
    <t>《国民健康保険》</t>
    <phoneticPr fontId="2"/>
  </si>
  <si>
    <t>《保育所等》</t>
    <rPh sb="1" eb="3">
      <t>ホイク</t>
    </rPh>
    <rPh sb="3" eb="4">
      <t>ショ</t>
    </rPh>
    <rPh sb="4" eb="5">
      <t>トウ</t>
    </rPh>
    <phoneticPr fontId="2"/>
  </si>
  <si>
    <r>
      <t>《医療機関等》</t>
    </r>
    <r>
      <rPr>
        <b/>
        <sz val="12"/>
        <color theme="1"/>
        <rFont val="ＭＳ Ｐゴシック"/>
        <family val="3"/>
        <charset val="128"/>
      </rPr>
      <t>（公立・私立を含む）</t>
    </r>
    <rPh sb="1" eb="3">
      <t>イリョウ</t>
    </rPh>
    <rPh sb="3" eb="5">
      <t>キカン</t>
    </rPh>
    <rPh sb="5" eb="6">
      <t>トウ</t>
    </rPh>
    <rPh sb="8" eb="9">
      <t>コウ</t>
    </rPh>
    <rPh sb="9" eb="10">
      <t>リツ</t>
    </rPh>
    <rPh sb="11" eb="13">
      <t>シリツ</t>
    </rPh>
    <rPh sb="14" eb="15">
      <t>フク</t>
    </rPh>
    <phoneticPr fontId="2"/>
  </si>
  <si>
    <t>《障害福祉》</t>
    <rPh sb="1" eb="3">
      <t>ショウガイ</t>
    </rPh>
    <rPh sb="3" eb="5">
      <t>フクシ</t>
    </rPh>
    <phoneticPr fontId="2"/>
  </si>
  <si>
    <t>被保護人員</t>
    <rPh sb="0" eb="1">
      <t>ヒ</t>
    </rPh>
    <rPh sb="1" eb="3">
      <t>ホゴ</t>
    </rPh>
    <rPh sb="3" eb="5">
      <t>ジンイン</t>
    </rPh>
    <phoneticPr fontId="2"/>
  </si>
  <si>
    <t>被保護
世帯</t>
    <phoneticPr fontId="2"/>
  </si>
  <si>
    <t>養護老人ﾎｰﾑ</t>
    <rPh sb="0" eb="2">
      <t>ヨウゴ</t>
    </rPh>
    <rPh sb="2" eb="4">
      <t>ロウジン</t>
    </rPh>
    <phoneticPr fontId="2"/>
  </si>
  <si>
    <t>特別養護老人ﾎｰﾑ</t>
    <rPh sb="0" eb="2">
      <t>トクベツ</t>
    </rPh>
    <rPh sb="2" eb="4">
      <t>ヨウゴ</t>
    </rPh>
    <rPh sb="4" eb="6">
      <t>ロウジン</t>
    </rPh>
    <phoneticPr fontId="2"/>
  </si>
  <si>
    <t>地域密着型特別養護老人ﾎｰﾑ</t>
    <phoneticPr fontId="2"/>
  </si>
  <si>
    <t>軽費老人ﾎｰﾑ</t>
    <rPh sb="0" eb="1">
      <t>カル</t>
    </rPh>
    <rPh sb="1" eb="2">
      <t>ヒ</t>
    </rPh>
    <rPh sb="2" eb="4">
      <t>ロウジン</t>
    </rPh>
    <phoneticPr fontId="2"/>
  </si>
  <si>
    <t>有料老人ﾎｰﾑ</t>
    <rPh sb="0" eb="2">
      <t>ユウリョウ</t>
    </rPh>
    <rPh sb="2" eb="4">
      <t>ロウジン</t>
    </rPh>
    <phoneticPr fontId="2"/>
  </si>
  <si>
    <t>指定介護
サービス
事業所</t>
    <rPh sb="0" eb="2">
      <t>シテイ</t>
    </rPh>
    <rPh sb="2" eb="4">
      <t>カイゴ</t>
    </rPh>
    <rPh sb="10" eb="13">
      <t>ジギョウショ</t>
    </rPh>
    <phoneticPr fontId="2"/>
  </si>
  <si>
    <t>ケアハウス</t>
  </si>
  <si>
    <t>老人福祉
センター</t>
    <rPh sb="0" eb="1">
      <t>ロウ</t>
    </rPh>
    <rPh sb="1" eb="2">
      <t>ジン</t>
    </rPh>
    <phoneticPr fontId="2"/>
  </si>
  <si>
    <t>介護老人保健施設</t>
    <rPh sb="0" eb="2">
      <t>カイゴ</t>
    </rPh>
    <rPh sb="2" eb="4">
      <t>ロウジン</t>
    </rPh>
    <rPh sb="4" eb="6">
      <t>ホケン</t>
    </rPh>
    <rPh sb="6" eb="8">
      <t>シセツ</t>
    </rPh>
    <phoneticPr fontId="2"/>
  </si>
  <si>
    <t>介護医療院</t>
    <rPh sb="0" eb="2">
      <t>カイゴ</t>
    </rPh>
    <rPh sb="2" eb="4">
      <t>イリョウ</t>
    </rPh>
    <rPh sb="4" eb="5">
      <t>イン</t>
    </rPh>
    <phoneticPr fontId="2"/>
  </si>
  <si>
    <t>介護療養型医療施設</t>
    <rPh sb="0" eb="2">
      <t>カイゴ</t>
    </rPh>
    <rPh sb="2" eb="5">
      <t>リョウヨウガタ</t>
    </rPh>
    <rPh sb="5" eb="7">
      <t>イリョウ</t>
    </rPh>
    <rPh sb="7" eb="9">
      <t>シセツ</t>
    </rPh>
    <phoneticPr fontId="2"/>
  </si>
  <si>
    <t>老人憩いの家</t>
    <rPh sb="0" eb="2">
      <t>ロウジン</t>
    </rPh>
    <rPh sb="2" eb="3">
      <t>イコ</t>
    </rPh>
    <rPh sb="5" eb="6">
      <t>イエ</t>
    </rPh>
    <phoneticPr fontId="2"/>
  </si>
  <si>
    <t>第1号
被保険者数</t>
    <rPh sb="0" eb="1">
      <t>ダイ</t>
    </rPh>
    <rPh sb="2" eb="3">
      <t>ゴウ</t>
    </rPh>
    <rPh sb="4" eb="5">
      <t>ヒ</t>
    </rPh>
    <rPh sb="5" eb="8">
      <t>ホケンシャ</t>
    </rPh>
    <rPh sb="8" eb="9">
      <t>スウ</t>
    </rPh>
    <phoneticPr fontId="2"/>
  </si>
  <si>
    <t>要介護（要支援）
認定者数</t>
    <rPh sb="0" eb="3">
      <t>ヨウカイゴ</t>
    </rPh>
    <rPh sb="4" eb="5">
      <t>ヨウ</t>
    </rPh>
    <rPh sb="5" eb="7">
      <t>シエン</t>
    </rPh>
    <rPh sb="9" eb="12">
      <t>ニンテイシャ</t>
    </rPh>
    <rPh sb="12" eb="13">
      <t>スウ</t>
    </rPh>
    <phoneticPr fontId="2"/>
  </si>
  <si>
    <t>保険給付費</t>
    <rPh sb="0" eb="2">
      <t>ホケン</t>
    </rPh>
    <rPh sb="2" eb="4">
      <t>キュウフ</t>
    </rPh>
    <rPh sb="4" eb="5">
      <t>ヒ</t>
    </rPh>
    <phoneticPr fontId="2"/>
  </si>
  <si>
    <t>保険料収納率</t>
    <rPh sb="0" eb="3">
      <t>ホケンリョウ</t>
    </rPh>
    <rPh sb="3" eb="5">
      <t>シュウノウ</t>
    </rPh>
    <rPh sb="5" eb="6">
      <t>リツ</t>
    </rPh>
    <phoneticPr fontId="2"/>
  </si>
  <si>
    <t>地域包括支援
センター数</t>
    <rPh sb="0" eb="2">
      <t>チイキ</t>
    </rPh>
    <rPh sb="2" eb="4">
      <t>ホウカツ</t>
    </rPh>
    <rPh sb="4" eb="6">
      <t>シエン</t>
    </rPh>
    <rPh sb="11" eb="12">
      <t>スウ</t>
    </rPh>
    <phoneticPr fontId="2"/>
  </si>
  <si>
    <t>被保険者数</t>
    <rPh sb="0" eb="4">
      <t>ヒホケンシャ</t>
    </rPh>
    <rPh sb="4" eb="5">
      <t>スウ</t>
    </rPh>
    <phoneticPr fontId="2"/>
  </si>
  <si>
    <t>加入世帯数</t>
    <rPh sb="0" eb="2">
      <t>カニュウ</t>
    </rPh>
    <rPh sb="2" eb="5">
      <t>セタイスウ</t>
    </rPh>
    <phoneticPr fontId="2"/>
  </si>
  <si>
    <t>被保険者１人
当たり費用額</t>
    <rPh sb="0" eb="4">
      <t>ヒホケンシャ</t>
    </rPh>
    <phoneticPr fontId="2"/>
  </si>
  <si>
    <t>保険料（税）   
徴収率</t>
    <rPh sb="0" eb="3">
      <t>ホケンリョウ</t>
    </rPh>
    <phoneticPr fontId="2"/>
  </si>
  <si>
    <t>特定健康診査実施率</t>
    <rPh sb="0" eb="2">
      <t>トクテイ</t>
    </rPh>
    <rPh sb="2" eb="4">
      <t>ケンコウ</t>
    </rPh>
    <rPh sb="4" eb="6">
      <t>シンサ</t>
    </rPh>
    <rPh sb="6" eb="8">
      <t>ジッシ</t>
    </rPh>
    <rPh sb="8" eb="9">
      <t>リツ</t>
    </rPh>
    <phoneticPr fontId="2"/>
  </si>
  <si>
    <t>特定保健指導実施率</t>
    <rPh sb="0" eb="2">
      <t>トクテイ</t>
    </rPh>
    <rPh sb="2" eb="4">
      <t>ホケン</t>
    </rPh>
    <rPh sb="4" eb="6">
      <t>シドウ</t>
    </rPh>
    <rPh sb="6" eb="8">
      <t>ジッシ</t>
    </rPh>
    <rPh sb="8" eb="9">
      <t>リツ</t>
    </rPh>
    <phoneticPr fontId="2"/>
  </si>
  <si>
    <t>子どものための教育・保育給付の支給認定者数</t>
    <rPh sb="15" eb="17">
      <t>シキュウ</t>
    </rPh>
    <rPh sb="17" eb="19">
      <t>ニンテイ</t>
    </rPh>
    <rPh sb="19" eb="20">
      <t>シャ</t>
    </rPh>
    <rPh sb="20" eb="21">
      <t>スウ</t>
    </rPh>
    <phoneticPr fontId="2"/>
  </si>
  <si>
    <t>子育てのための施設等利用給付の新2号支給認定者数</t>
    <phoneticPr fontId="2"/>
  </si>
  <si>
    <t>保 育 所（市立）</t>
    <rPh sb="0" eb="1">
      <t>タモツ</t>
    </rPh>
    <rPh sb="2" eb="3">
      <t>イク</t>
    </rPh>
    <rPh sb="4" eb="5">
      <t>ショ</t>
    </rPh>
    <rPh sb="6" eb="7">
      <t>シ</t>
    </rPh>
    <rPh sb="7" eb="8">
      <t>タテ</t>
    </rPh>
    <phoneticPr fontId="2"/>
  </si>
  <si>
    <t>保 育 所（市立以外）</t>
    <rPh sb="0" eb="1">
      <t>ホ</t>
    </rPh>
    <rPh sb="2" eb="3">
      <t>イク</t>
    </rPh>
    <rPh sb="4" eb="5">
      <t>ショ</t>
    </rPh>
    <rPh sb="6" eb="7">
      <t>シ</t>
    </rPh>
    <rPh sb="7" eb="8">
      <t>リツ</t>
    </rPh>
    <rPh sb="8" eb="9">
      <t>イ</t>
    </rPh>
    <rPh sb="9" eb="10">
      <t>ソト</t>
    </rPh>
    <phoneticPr fontId="2"/>
  </si>
  <si>
    <t>認定こども園（市立）</t>
    <rPh sb="0" eb="2">
      <t>ニンテイ</t>
    </rPh>
    <rPh sb="5" eb="6">
      <t>エン</t>
    </rPh>
    <rPh sb="7" eb="9">
      <t>シリツ</t>
    </rPh>
    <phoneticPr fontId="2"/>
  </si>
  <si>
    <t>認定こども園（市立以外）</t>
    <rPh sb="0" eb="2">
      <t>ニンテイ</t>
    </rPh>
    <rPh sb="5" eb="6">
      <t>エン</t>
    </rPh>
    <rPh sb="7" eb="9">
      <t>シリツ</t>
    </rPh>
    <rPh sb="9" eb="11">
      <t>イガイ</t>
    </rPh>
    <phoneticPr fontId="2"/>
  </si>
  <si>
    <t>地域型保育事業者</t>
    <rPh sb="0" eb="3">
      <t>チイキガタ</t>
    </rPh>
    <rPh sb="3" eb="5">
      <t>ホイク</t>
    </rPh>
    <rPh sb="5" eb="7">
      <t>ジギョウ</t>
    </rPh>
    <rPh sb="7" eb="8">
      <t>シャ</t>
    </rPh>
    <phoneticPr fontId="2"/>
  </si>
  <si>
    <t>保育所入所
待機児童数</t>
    <rPh sb="0" eb="2">
      <t>ホイク</t>
    </rPh>
    <rPh sb="2" eb="3">
      <t>ショ</t>
    </rPh>
    <rPh sb="3" eb="5">
      <t>ニュウショ</t>
    </rPh>
    <rPh sb="6" eb="8">
      <t>タイキ</t>
    </rPh>
    <rPh sb="8" eb="10">
      <t>ジドウ</t>
    </rPh>
    <rPh sb="10" eb="11">
      <t>スウ</t>
    </rPh>
    <phoneticPr fontId="2"/>
  </si>
  <si>
    <t>市立児童館数</t>
    <rPh sb="0" eb="2">
      <t>シリツ</t>
    </rPh>
    <rPh sb="2" eb="5">
      <t>ジドウカン</t>
    </rPh>
    <rPh sb="5" eb="6">
      <t>スウ</t>
    </rPh>
    <phoneticPr fontId="2"/>
  </si>
  <si>
    <t>地域子育て支援拠点事業</t>
    <rPh sb="0" eb="2">
      <t>チイキ</t>
    </rPh>
    <rPh sb="2" eb="4">
      <t>コソダ</t>
    </rPh>
    <rPh sb="5" eb="7">
      <t>シエン</t>
    </rPh>
    <rPh sb="7" eb="9">
      <t>キョテン</t>
    </rPh>
    <rPh sb="9" eb="11">
      <t>ジギョウ</t>
    </rPh>
    <phoneticPr fontId="2"/>
  </si>
  <si>
    <t>病院数</t>
    <rPh sb="0" eb="2">
      <t>ビョウイン</t>
    </rPh>
    <rPh sb="2" eb="3">
      <t>スウ</t>
    </rPh>
    <phoneticPr fontId="2"/>
  </si>
  <si>
    <t>病床数（病院及び診療所）</t>
    <rPh sb="0" eb="2">
      <t>ビョウショウ</t>
    </rPh>
    <rPh sb="2" eb="3">
      <t>スウ</t>
    </rPh>
    <rPh sb="4" eb="6">
      <t>ビョウイン</t>
    </rPh>
    <rPh sb="6" eb="7">
      <t>オヨ</t>
    </rPh>
    <rPh sb="8" eb="11">
      <t>シンリョウジョ</t>
    </rPh>
    <phoneticPr fontId="2"/>
  </si>
  <si>
    <t>人口10万
人当たり
病床数</t>
    <rPh sb="0" eb="2">
      <t>ジンコウ</t>
    </rPh>
    <rPh sb="4" eb="5">
      <t>マン</t>
    </rPh>
    <phoneticPr fontId="2"/>
  </si>
  <si>
    <t>一般
診療所数</t>
    <phoneticPr fontId="2"/>
  </si>
  <si>
    <t>歯科
診療所数</t>
    <phoneticPr fontId="2"/>
  </si>
  <si>
    <t>医師数</t>
    <rPh sb="0" eb="2">
      <t>イシ</t>
    </rPh>
    <rPh sb="2" eb="3">
      <t>スウ</t>
    </rPh>
    <phoneticPr fontId="2"/>
  </si>
  <si>
    <t>歯科医師数</t>
    <rPh sb="0" eb="2">
      <t>シカ</t>
    </rPh>
    <rPh sb="2" eb="4">
      <t>イシ</t>
    </rPh>
    <rPh sb="4" eb="5">
      <t>スウ</t>
    </rPh>
    <phoneticPr fontId="2"/>
  </si>
  <si>
    <t>薬剤師数</t>
    <rPh sb="0" eb="3">
      <t>ヤクザイシ</t>
    </rPh>
    <rPh sb="3" eb="4">
      <t>スウ</t>
    </rPh>
    <phoneticPr fontId="2"/>
  </si>
  <si>
    <t>指定障害福祉
サービス等事業所数</t>
    <rPh sb="0" eb="2">
      <t>シテイ</t>
    </rPh>
    <rPh sb="2" eb="4">
      <t>ショウガイ</t>
    </rPh>
    <rPh sb="4" eb="6">
      <t>フクシ</t>
    </rPh>
    <rPh sb="11" eb="12">
      <t>トウ</t>
    </rPh>
    <rPh sb="12" eb="15">
      <t>ジギョウショ</t>
    </rPh>
    <rPh sb="15" eb="16">
      <t>スウ</t>
    </rPh>
    <phoneticPr fontId="2"/>
  </si>
  <si>
    <t>障害福祉サービス
支給決定者数</t>
    <rPh sb="0" eb="4">
      <t>ショウガイフクシ</t>
    </rPh>
    <rPh sb="9" eb="14">
      <t>シキュウケッテイシャ</t>
    </rPh>
    <rPh sb="14" eb="15">
      <t>スウ</t>
    </rPh>
    <phoneticPr fontId="2"/>
  </si>
  <si>
    <t>指定障害児
通所支援事業所数</t>
    <phoneticPr fontId="2"/>
  </si>
  <si>
    <t>障害児通所支援
支給決定者数</t>
    <rPh sb="0" eb="2">
      <t>ショウガイ</t>
    </rPh>
    <rPh sb="2" eb="3">
      <t>ジ</t>
    </rPh>
    <rPh sb="3" eb="5">
      <t>ツウショ</t>
    </rPh>
    <rPh sb="5" eb="7">
      <t>シエン</t>
    </rPh>
    <rPh sb="8" eb="10">
      <t>シキュウ</t>
    </rPh>
    <rPh sb="10" eb="12">
      <t>ケッテイ</t>
    </rPh>
    <rPh sb="12" eb="13">
      <t>シャ</t>
    </rPh>
    <rPh sb="13" eb="14">
      <t>スウ</t>
    </rPh>
    <phoneticPr fontId="2"/>
  </si>
  <si>
    <t>身体障害者手帳
所持者数</t>
    <phoneticPr fontId="2"/>
  </si>
  <si>
    <t>療育手帳所持者数</t>
    <phoneticPr fontId="2"/>
  </si>
  <si>
    <t>精神障害者保健福祉手帳所持者数</t>
    <rPh sb="5" eb="7">
      <t>ホケン</t>
    </rPh>
    <phoneticPr fontId="2"/>
  </si>
  <si>
    <t>保護率</t>
    <rPh sb="0" eb="2">
      <t>ホゴ</t>
    </rPh>
    <rPh sb="2" eb="3">
      <t>リツ</t>
    </rPh>
    <phoneticPr fontId="2"/>
  </si>
  <si>
    <t>定員</t>
    <rPh sb="0" eb="2">
      <t>テイイン</t>
    </rPh>
    <phoneticPr fontId="2"/>
  </si>
  <si>
    <t>（A型+Ｂ型）</t>
    <rPh sb="2" eb="3">
      <t>カタ</t>
    </rPh>
    <rPh sb="5" eb="6">
      <t>カタ</t>
    </rPh>
    <phoneticPr fontId="2"/>
  </si>
  <si>
    <t>定員</t>
    <rPh sb="0" eb="1">
      <t>サダム</t>
    </rPh>
    <rPh sb="1" eb="2">
      <t>イン</t>
    </rPh>
    <phoneticPr fontId="2"/>
  </si>
  <si>
    <t>人口
加入率</t>
    <rPh sb="0" eb="1">
      <t>ヒト</t>
    </rPh>
    <rPh sb="1" eb="2">
      <t>クチ</t>
    </rPh>
    <phoneticPr fontId="2"/>
  </si>
  <si>
    <t>世帯
加入率</t>
    <rPh sb="0" eb="1">
      <t>ヨ</t>
    </rPh>
    <rPh sb="1" eb="2">
      <t>オビ</t>
    </rPh>
    <phoneticPr fontId="2"/>
  </si>
  <si>
    <t>1号</t>
    <rPh sb="1" eb="2">
      <t>ゴウ</t>
    </rPh>
    <phoneticPr fontId="2"/>
  </si>
  <si>
    <t>2号</t>
    <rPh sb="1" eb="2">
      <t>ゴウ</t>
    </rPh>
    <phoneticPr fontId="2"/>
  </si>
  <si>
    <t>3号</t>
    <rPh sb="1" eb="2">
      <t>ゴウ</t>
    </rPh>
    <phoneticPr fontId="2"/>
  </si>
  <si>
    <t>利用定員</t>
    <phoneticPr fontId="2"/>
  </si>
  <si>
    <t>利用者数</t>
    <phoneticPr fontId="2"/>
  </si>
  <si>
    <t>利用定員</t>
    <rPh sb="0" eb="2">
      <t>リヨウ</t>
    </rPh>
    <rPh sb="2" eb="4">
      <t>テイイン</t>
    </rPh>
    <phoneticPr fontId="2"/>
  </si>
  <si>
    <t>うち市立</t>
    <rPh sb="2" eb="3">
      <t>シ</t>
    </rPh>
    <rPh sb="3" eb="4">
      <t>リツ</t>
    </rPh>
    <phoneticPr fontId="2"/>
  </si>
  <si>
    <t>（令和2年12
月31日現在）</t>
    <rPh sb="1" eb="3">
      <t>レイワ</t>
    </rPh>
    <rPh sb="4" eb="5">
      <t>ネン</t>
    </rPh>
    <rPh sb="8" eb="9">
      <t>ガツ</t>
    </rPh>
    <rPh sb="11" eb="12">
      <t>ニチ</t>
    </rPh>
    <rPh sb="12" eb="14">
      <t>ゲンザイ</t>
    </rPh>
    <phoneticPr fontId="2"/>
  </si>
  <si>
    <t>人口10万人当たり</t>
    <rPh sb="0" eb="2">
      <t>ジンコウ</t>
    </rPh>
    <rPh sb="4" eb="5">
      <t>マン</t>
    </rPh>
    <phoneticPr fontId="2"/>
  </si>
  <si>
    <t>人口比</t>
    <rPh sb="0" eb="3">
      <t>ジンコウヒ</t>
    </rPh>
    <phoneticPr fontId="2"/>
  </si>
  <si>
    <t>箇所数</t>
    <rPh sb="0" eb="2">
      <t>カショ</t>
    </rPh>
    <rPh sb="2" eb="3">
      <t>スウ</t>
    </rPh>
    <phoneticPr fontId="2"/>
  </si>
  <si>
    <t>‰</t>
    <phoneticPr fontId="2"/>
  </si>
  <si>
    <t>人</t>
    <rPh sb="0" eb="1">
      <t>ニン</t>
    </rPh>
    <phoneticPr fontId="2"/>
  </si>
  <si>
    <t>床</t>
    <rPh sb="0" eb="1">
      <t>ユカ</t>
    </rPh>
    <phoneticPr fontId="2"/>
  </si>
  <si>
    <t>松本市</t>
    <rPh sb="0" eb="3">
      <t>マツモトシ</t>
    </rPh>
    <phoneticPr fontId="2"/>
  </si>
  <si>
    <t xml:space="preserve"> -</t>
  </si>
  <si>
    <t>□水戸市の[被保護世帯]は令和５年９月１日現在の数値。</t>
    <rPh sb="1" eb="4">
      <t>ミトシ</t>
    </rPh>
    <rPh sb="6" eb="11">
      <t>ヒホゴセタイ</t>
    </rPh>
    <rPh sb="13" eb="15">
      <t>レイワ</t>
    </rPh>
    <rPh sb="16" eb="17">
      <t>ネン</t>
    </rPh>
    <rPh sb="18" eb="19">
      <t>ガツ</t>
    </rPh>
    <rPh sb="20" eb="23">
      <t>ニチゲンザイ</t>
    </rPh>
    <rPh sb="24" eb="26">
      <t>スウチ</t>
    </rPh>
    <phoneticPr fontId="2"/>
  </si>
  <si>
    <t>□福山市の[保育所（市立）箇所数]は分園１園を含む。</t>
    <rPh sb="1" eb="4">
      <t>フクヤマシ</t>
    </rPh>
    <rPh sb="6" eb="9">
      <t>ホイクジョ</t>
    </rPh>
    <rPh sb="10" eb="12">
      <t>イチリツ</t>
    </rPh>
    <rPh sb="13" eb="16">
      <t>カショスウ</t>
    </rPh>
    <rPh sb="18" eb="20">
      <t>ブンエン</t>
    </rPh>
    <rPh sb="21" eb="22">
      <t>エン</t>
    </rPh>
    <rPh sb="23" eb="24">
      <t>フク</t>
    </rPh>
    <phoneticPr fontId="2"/>
  </si>
  <si>
    <t>□八王子市の[病院数]、[病床数]、[人口10万人当たり病床数]、[一般診療所数]及び[歯科診療所数]は令和5年3月31日現在の数値。</t>
    <rPh sb="1" eb="5">
      <t>ハチオウジシ</t>
    </rPh>
    <rPh sb="7" eb="10">
      <t>ビョウインスウ</t>
    </rPh>
    <rPh sb="13" eb="16">
      <t>ビョウショウスウ</t>
    </rPh>
    <rPh sb="19" eb="21">
      <t>ジンコウ</t>
    </rPh>
    <rPh sb="23" eb="24">
      <t>マン</t>
    </rPh>
    <rPh sb="24" eb="25">
      <t>ニン</t>
    </rPh>
    <rPh sb="25" eb="26">
      <t>ア</t>
    </rPh>
    <rPh sb="28" eb="31">
      <t>ビョウショウスウ</t>
    </rPh>
    <rPh sb="34" eb="36">
      <t>イッパン</t>
    </rPh>
    <rPh sb="36" eb="40">
      <t>シンリョウジョスウ</t>
    </rPh>
    <rPh sb="41" eb="42">
      <t>オヨ</t>
    </rPh>
    <rPh sb="44" eb="46">
      <t>シカ</t>
    </rPh>
    <rPh sb="46" eb="49">
      <t>シンリョウジョ</t>
    </rPh>
    <rPh sb="49" eb="50">
      <t>スウ</t>
    </rPh>
    <rPh sb="52" eb="54">
      <t>レイワ</t>
    </rPh>
    <rPh sb="55" eb="56">
      <t>ネン</t>
    </rPh>
    <rPh sb="57" eb="58">
      <t>ガツ</t>
    </rPh>
    <rPh sb="60" eb="61">
      <t>ニチ</t>
    </rPh>
    <rPh sb="61" eb="63">
      <t>ゲンザイ</t>
    </rPh>
    <rPh sb="64" eb="66">
      <t>スウチ</t>
    </rPh>
    <phoneticPr fontId="2"/>
  </si>
  <si>
    <t>☐被保険者１人当たり費用額・徴収率（現年度）は、令和２年度事業年報より記入</t>
    <rPh sb="24" eb="26">
      <t>レイワ</t>
    </rPh>
    <phoneticPr fontId="2"/>
  </si>
  <si>
    <t>☐支給認定者数（教育・保育給付）、支給人者数（施設等利用給付）の人口比については、</t>
    <rPh sb="1" eb="3">
      <t>シキュウ</t>
    </rPh>
    <rPh sb="3" eb="5">
      <t>ニンテイ</t>
    </rPh>
    <rPh sb="5" eb="6">
      <t>シャ</t>
    </rPh>
    <rPh sb="6" eb="7">
      <t>スウ</t>
    </rPh>
    <rPh sb="8" eb="10">
      <t>キョウイク</t>
    </rPh>
    <rPh sb="11" eb="13">
      <t>ホイク</t>
    </rPh>
    <rPh sb="13" eb="15">
      <t>キュウフ</t>
    </rPh>
    <rPh sb="17" eb="19">
      <t>シキュウ</t>
    </rPh>
    <rPh sb="19" eb="20">
      <t>ニン</t>
    </rPh>
    <rPh sb="20" eb="21">
      <t>シャ</t>
    </rPh>
    <rPh sb="21" eb="22">
      <t>スウ</t>
    </rPh>
    <rPh sb="23" eb="25">
      <t>シセツ</t>
    </rPh>
    <rPh sb="25" eb="26">
      <t>トウ</t>
    </rPh>
    <rPh sb="26" eb="28">
      <t>リヨウ</t>
    </rPh>
    <rPh sb="28" eb="30">
      <t>キュウフ</t>
    </rPh>
    <rPh sb="32" eb="35">
      <t>ジンコウヒ</t>
    </rPh>
    <phoneticPr fontId="2"/>
  </si>
  <si>
    <t>　で報告する数値（令和３年４月１日時点）</t>
    <rPh sb="9" eb="11">
      <t>レイワ</t>
    </rPh>
    <rPh sb="12" eb="13">
      <t>ネン</t>
    </rPh>
    <rPh sb="14" eb="15">
      <t>ガツ</t>
    </rPh>
    <rPh sb="16" eb="17">
      <t>ニチ</t>
    </rPh>
    <rPh sb="17" eb="19">
      <t>ジテン</t>
    </rPh>
    <phoneticPr fontId="2"/>
  </si>
  <si>
    <t>☐人口割合は、令和３年３月３１日現在住民基本台帳人口で除した数値</t>
    <rPh sb="1" eb="3">
      <t>ジンコウ</t>
    </rPh>
    <rPh sb="3" eb="5">
      <t>ワリアイ</t>
    </rPh>
    <rPh sb="7" eb="9">
      <t>レイワ</t>
    </rPh>
    <rPh sb="10" eb="11">
      <t>ネン</t>
    </rPh>
    <rPh sb="18" eb="20">
      <t>ジュウミン</t>
    </rPh>
    <rPh sb="20" eb="22">
      <t>キホン</t>
    </rPh>
    <rPh sb="22" eb="24">
      <t>ダイチョウ</t>
    </rPh>
    <rPh sb="24" eb="26">
      <t>ジンコウ</t>
    </rPh>
    <rPh sb="27" eb="28">
      <t>ジョ</t>
    </rPh>
    <rPh sb="30" eb="32">
      <t>スウチ</t>
    </rPh>
    <phoneticPr fontId="2"/>
  </si>
  <si>
    <t>　指定障害児通所支援事業所数については、</t>
    <rPh sb="1" eb="3">
      <t>シテイ</t>
    </rPh>
    <rPh sb="3" eb="5">
      <t>ショウガイ</t>
    </rPh>
    <rPh sb="5" eb="6">
      <t>ジ</t>
    </rPh>
    <rPh sb="6" eb="8">
      <t>ツウショ</t>
    </rPh>
    <rPh sb="8" eb="10">
      <t>シエン</t>
    </rPh>
    <rPh sb="10" eb="13">
      <t>ジギョウショ</t>
    </rPh>
    <rPh sb="13" eb="14">
      <t>スウ</t>
    </rPh>
    <phoneticPr fontId="2"/>
  </si>
  <si>
    <t>☐特定健康診査実施率および特定保健指導実施率は、令和２年度実施分法定報告値より記入</t>
    <rPh sb="1" eb="3">
      <t>トクテイ</t>
    </rPh>
    <rPh sb="3" eb="5">
      <t>ケンコウ</t>
    </rPh>
    <rPh sb="5" eb="7">
      <t>シンサ</t>
    </rPh>
    <rPh sb="7" eb="9">
      <t>ジッシ</t>
    </rPh>
    <rPh sb="9" eb="10">
      <t>リツ</t>
    </rPh>
    <rPh sb="13" eb="15">
      <t>トクテイ</t>
    </rPh>
    <rPh sb="15" eb="17">
      <t>ホケン</t>
    </rPh>
    <rPh sb="17" eb="19">
      <t>シドウ</t>
    </rPh>
    <rPh sb="19" eb="21">
      <t>ジッシ</t>
    </rPh>
    <rPh sb="21" eb="22">
      <t>リツ</t>
    </rPh>
    <rPh sb="24" eb="26">
      <t>レイワ</t>
    </rPh>
    <rPh sb="39" eb="41">
      <t>キニュウ</t>
    </rPh>
    <phoneticPr fontId="2"/>
  </si>
  <si>
    <t>　１号・・・３～５歳児童数に占める割合を記入</t>
    <rPh sb="2" eb="3">
      <t>ゴウ</t>
    </rPh>
    <rPh sb="9" eb="10">
      <t>サイ</t>
    </rPh>
    <rPh sb="10" eb="12">
      <t>ジドウ</t>
    </rPh>
    <rPh sb="12" eb="13">
      <t>スウ</t>
    </rPh>
    <rPh sb="14" eb="15">
      <t>シ</t>
    </rPh>
    <rPh sb="17" eb="19">
      <t>ワリアイ</t>
    </rPh>
    <rPh sb="20" eb="22">
      <t>キニュウ</t>
    </rPh>
    <phoneticPr fontId="2"/>
  </si>
  <si>
    <t>☐地域子育て支援拠点事業の実施箇所数は、令和３年４月１日現在を記入</t>
    <rPh sb="1" eb="3">
      <t>チイキ</t>
    </rPh>
    <rPh sb="3" eb="5">
      <t>コソダ</t>
    </rPh>
    <rPh sb="6" eb="8">
      <t>シエン</t>
    </rPh>
    <rPh sb="8" eb="10">
      <t>キョテン</t>
    </rPh>
    <rPh sb="10" eb="12">
      <t>ジギョウ</t>
    </rPh>
    <rPh sb="13" eb="15">
      <t>ジッシ</t>
    </rPh>
    <rPh sb="15" eb="17">
      <t>カショ</t>
    </rPh>
    <rPh sb="17" eb="18">
      <t>スウ</t>
    </rPh>
    <rPh sb="20" eb="22">
      <t>レイワ</t>
    </rPh>
    <rPh sb="23" eb="24">
      <t>ネン</t>
    </rPh>
    <rPh sb="25" eb="26">
      <t>ガツ</t>
    </rPh>
    <rPh sb="27" eb="30">
      <t>ニチゲンザイ</t>
    </rPh>
    <rPh sb="28" eb="30">
      <t>ゲンザイ</t>
    </rPh>
    <rPh sb="31" eb="33">
      <t>キニュウ</t>
    </rPh>
    <phoneticPr fontId="2"/>
  </si>
  <si>
    <t>☐医師数・歯科医師数は、平成３０年医師・歯科医師・薬剤師統計より記入</t>
    <rPh sb="1" eb="3">
      <t>イシ</t>
    </rPh>
    <rPh sb="3" eb="4">
      <t>スウ</t>
    </rPh>
    <rPh sb="5" eb="7">
      <t>シカ</t>
    </rPh>
    <rPh sb="7" eb="9">
      <t>イシ</t>
    </rPh>
    <rPh sb="9" eb="10">
      <t>スウ</t>
    </rPh>
    <rPh sb="12" eb="14">
      <t>ヘイセイ</t>
    </rPh>
    <rPh sb="16" eb="17">
      <t>ネン</t>
    </rPh>
    <rPh sb="17" eb="19">
      <t>イシ</t>
    </rPh>
    <rPh sb="20" eb="22">
      <t>シカ</t>
    </rPh>
    <rPh sb="22" eb="24">
      <t>イシ</t>
    </rPh>
    <rPh sb="25" eb="28">
      <t>ヤクザイシ</t>
    </rPh>
    <rPh sb="28" eb="30">
      <t>トウケイ</t>
    </rPh>
    <rPh sb="32" eb="34">
      <t>キニュウ</t>
    </rPh>
    <phoneticPr fontId="2"/>
  </si>
  <si>
    <t>　令和２年社会福祉施設等調査より記入</t>
    <phoneticPr fontId="2"/>
  </si>
  <si>
    <t>　２号、新２号・・・３～５歳児童数に占める割合を記入</t>
    <rPh sb="2" eb="3">
      <t>ゴウ</t>
    </rPh>
    <rPh sb="4" eb="5">
      <t>シン</t>
    </rPh>
    <rPh sb="6" eb="7">
      <t>ゴウ</t>
    </rPh>
    <rPh sb="13" eb="14">
      <t>サイ</t>
    </rPh>
    <rPh sb="14" eb="16">
      <t>ジドウ</t>
    </rPh>
    <rPh sb="16" eb="17">
      <t>スウ</t>
    </rPh>
    <rPh sb="18" eb="19">
      <t>シ</t>
    </rPh>
    <rPh sb="21" eb="23">
      <t>ワリアイ</t>
    </rPh>
    <rPh sb="24" eb="26">
      <t>キニュウ</t>
    </rPh>
    <phoneticPr fontId="2"/>
  </si>
  <si>
    <t>　（対象とする具体のサービスについては記入要領を参照）</t>
    <phoneticPr fontId="2"/>
  </si>
  <si>
    <t>　３号・・・０～２歳児童数に占める割合を記入</t>
    <rPh sb="2" eb="3">
      <t>ゴウ</t>
    </rPh>
    <rPh sb="9" eb="10">
      <t>サイ</t>
    </rPh>
    <rPh sb="10" eb="12">
      <t>ジドウ</t>
    </rPh>
    <rPh sb="12" eb="13">
      <t>スウ</t>
    </rPh>
    <rPh sb="14" eb="15">
      <t>シ</t>
    </rPh>
    <rPh sb="17" eb="19">
      <t>ワリアイ</t>
    </rPh>
    <rPh sb="20" eb="22">
      <t>キニュウ</t>
    </rPh>
    <phoneticPr fontId="2"/>
  </si>
  <si>
    <t>４　環　境</t>
    <rPh sb="2" eb="3">
      <t>ワ</t>
    </rPh>
    <rPh sb="4" eb="5">
      <t>サカイ</t>
    </rPh>
    <phoneticPr fontId="2"/>
  </si>
  <si>
    <t>ごみ
総排出量</t>
    <phoneticPr fontId="2"/>
  </si>
  <si>
    <t>１人１日
当たり
排出量</t>
    <rPh sb="5" eb="6">
      <t>ア</t>
    </rPh>
    <phoneticPr fontId="2"/>
  </si>
  <si>
    <t>１人１日
当たり
排出量
（家庭系）</t>
    <rPh sb="5" eb="6">
      <t>ア</t>
    </rPh>
    <rPh sb="14" eb="16">
      <t>カテイ</t>
    </rPh>
    <rPh sb="16" eb="17">
      <t>ケイ</t>
    </rPh>
    <phoneticPr fontId="2"/>
  </si>
  <si>
    <t>ごみの総排出量（処理量・令和３年度実績）</t>
    <rPh sb="3" eb="4">
      <t>ソウ</t>
    </rPh>
    <rPh sb="4" eb="6">
      <t>ハイシュツ</t>
    </rPh>
    <rPh sb="6" eb="7">
      <t>リョウ</t>
    </rPh>
    <rPh sb="8" eb="10">
      <t>ショリ</t>
    </rPh>
    <rPh sb="10" eb="11">
      <t>リョウ</t>
    </rPh>
    <rPh sb="12" eb="14">
      <t>レイワ</t>
    </rPh>
    <rPh sb="15" eb="17">
      <t>ネンド</t>
    </rPh>
    <rPh sb="17" eb="19">
      <t>ジッセキ</t>
    </rPh>
    <phoneticPr fontId="2"/>
  </si>
  <si>
    <t>リサイクル率</t>
    <rPh sb="5" eb="6">
      <t>リツ</t>
    </rPh>
    <phoneticPr fontId="2"/>
  </si>
  <si>
    <t>直接
搬入量</t>
    <rPh sb="0" eb="2">
      <t>チョクセツ</t>
    </rPh>
    <rPh sb="3" eb="5">
      <t>ハンニュウ</t>
    </rPh>
    <rPh sb="5" eb="6">
      <t>リョウ</t>
    </rPh>
    <phoneticPr fontId="2"/>
  </si>
  <si>
    <t>収集量</t>
    <rPh sb="0" eb="2">
      <t>シュウシュウ</t>
    </rPh>
    <rPh sb="2" eb="3">
      <t>リョウ</t>
    </rPh>
    <phoneticPr fontId="2"/>
  </si>
  <si>
    <t>集団
回収量</t>
    <rPh sb="0" eb="2">
      <t>シュウダン</t>
    </rPh>
    <rPh sb="3" eb="5">
      <t>カイシュウ</t>
    </rPh>
    <rPh sb="5" eb="6">
      <t>リョウ</t>
    </rPh>
    <phoneticPr fontId="2"/>
  </si>
  <si>
    <t>混合</t>
  </si>
  <si>
    <t>可燃</t>
  </si>
  <si>
    <t>不燃</t>
  </si>
  <si>
    <t>資源</t>
  </si>
  <si>
    <t>その他</t>
  </si>
  <si>
    <t>粗大</t>
  </si>
  <si>
    <t>トン</t>
    <phoneticPr fontId="2"/>
  </si>
  <si>
    <t>(g/人日）</t>
    <phoneticPr fontId="2"/>
  </si>
  <si>
    <t>５　産　業</t>
    <rPh sb="2" eb="3">
      <t>サン</t>
    </rPh>
    <rPh sb="4" eb="5">
      <t>ギョウ</t>
    </rPh>
    <phoneticPr fontId="2"/>
  </si>
  <si>
    <t xml:space="preserve">項目 </t>
    <phoneticPr fontId="2"/>
  </si>
  <si>
    <t>産業別従業者数（令和３年経済センサス活動調査）</t>
    <rPh sb="0" eb="2">
      <t>サンギョウ</t>
    </rPh>
    <rPh sb="2" eb="3">
      <t>ベツ</t>
    </rPh>
    <rPh sb="3" eb="4">
      <t>ジュウ</t>
    </rPh>
    <rPh sb="4" eb="7">
      <t>ギョウシャスウ</t>
    </rPh>
    <rPh sb="6" eb="7">
      <t>スウ</t>
    </rPh>
    <rPh sb="8" eb="10">
      <t>レイワ</t>
    </rPh>
    <rPh sb="18" eb="20">
      <t>カツドウ</t>
    </rPh>
    <rPh sb="20" eb="22">
      <t>チョウサ</t>
    </rPh>
    <phoneticPr fontId="2"/>
  </si>
  <si>
    <t>農業（2020年農林業センサス）</t>
    <rPh sb="0" eb="2">
      <t>ノウギョウ</t>
    </rPh>
    <rPh sb="7" eb="8">
      <t>ネン</t>
    </rPh>
    <rPh sb="8" eb="11">
      <t>ノウリンギョウ</t>
    </rPh>
    <phoneticPr fontId="2"/>
  </si>
  <si>
    <t>工業（令和３年経済センサス活動調査）</t>
    <rPh sb="0" eb="2">
      <t>コウギョウ</t>
    </rPh>
    <rPh sb="3" eb="5">
      <t>レイワ</t>
    </rPh>
    <rPh sb="6" eb="7">
      <t>ネン</t>
    </rPh>
    <rPh sb="7" eb="9">
      <t>ケイザイ</t>
    </rPh>
    <rPh sb="13" eb="15">
      <t>カツドウ</t>
    </rPh>
    <rPh sb="15" eb="17">
      <t>チョウサ</t>
    </rPh>
    <phoneticPr fontId="2"/>
  </si>
  <si>
    <t>小売業、卸売業（令和３年経済センサス活動調査）</t>
    <rPh sb="0" eb="3">
      <t>コウリギョウ</t>
    </rPh>
    <rPh sb="4" eb="6">
      <t>オロシウ</t>
    </rPh>
    <rPh sb="6" eb="7">
      <t>ギョウ</t>
    </rPh>
    <rPh sb="8" eb="10">
      <t>レイワ</t>
    </rPh>
    <rPh sb="11" eb="12">
      <t>ネン</t>
    </rPh>
    <rPh sb="12" eb="14">
      <t>ケイザイ</t>
    </rPh>
    <rPh sb="18" eb="20">
      <t>カツドウ</t>
    </rPh>
    <rPh sb="20" eb="22">
      <t>チョウサ</t>
    </rPh>
    <phoneticPr fontId="2"/>
  </si>
  <si>
    <t>観　光</t>
    <rPh sb="0" eb="1">
      <t>ミ</t>
    </rPh>
    <rPh sb="2" eb="3">
      <t>ミツ</t>
    </rPh>
    <phoneticPr fontId="2"/>
  </si>
  <si>
    <t>（令和３年経済センサス活動調査）</t>
    <rPh sb="1" eb="3">
      <t>レイワ</t>
    </rPh>
    <rPh sb="4" eb="5">
      <t>ネン</t>
    </rPh>
    <rPh sb="5" eb="7">
      <t>ケイザイ</t>
    </rPh>
    <rPh sb="11" eb="13">
      <t>カツドウ</t>
    </rPh>
    <rPh sb="13" eb="15">
      <t>チョウサ</t>
    </rPh>
    <phoneticPr fontId="2"/>
  </si>
  <si>
    <t>第１次産業</t>
    <rPh sb="0" eb="1">
      <t>ダイ</t>
    </rPh>
    <rPh sb="2" eb="3">
      <t>ジ</t>
    </rPh>
    <rPh sb="3" eb="5">
      <t>サンギョウ</t>
    </rPh>
    <phoneticPr fontId="2"/>
  </si>
  <si>
    <t>第２次産業</t>
    <rPh sb="0" eb="1">
      <t>ダイ</t>
    </rPh>
    <rPh sb="2" eb="3">
      <t>ジ</t>
    </rPh>
    <rPh sb="3" eb="5">
      <t>サンギョウ</t>
    </rPh>
    <phoneticPr fontId="2"/>
  </si>
  <si>
    <t>第３次産業</t>
    <rPh sb="0" eb="1">
      <t>ダイ</t>
    </rPh>
    <rPh sb="2" eb="3">
      <t>ジ</t>
    </rPh>
    <rPh sb="3" eb="5">
      <t>サンギョウ</t>
    </rPh>
    <phoneticPr fontId="2"/>
  </si>
  <si>
    <t>経営耕地
総面積</t>
    <rPh sb="5" eb="6">
      <t>ソウ</t>
    </rPh>
    <phoneticPr fontId="2"/>
  </si>
  <si>
    <t>農業
経営体</t>
  </si>
  <si>
    <t>事業所数</t>
    <rPh sb="0" eb="3">
      <t>ジギョウショ</t>
    </rPh>
    <rPh sb="3" eb="4">
      <t>スウ</t>
    </rPh>
    <phoneticPr fontId="2"/>
  </si>
  <si>
    <t>製造品出荷額等</t>
    <rPh sb="0" eb="3">
      <t>セイゾウヒン</t>
    </rPh>
    <rPh sb="3" eb="5">
      <t>シュッカ</t>
    </rPh>
    <rPh sb="5" eb="6">
      <t>ガク</t>
    </rPh>
    <rPh sb="6" eb="7">
      <t>トウ</t>
    </rPh>
    <phoneticPr fontId="2"/>
  </si>
  <si>
    <t>年間商品販売額</t>
    <phoneticPr fontId="2"/>
  </si>
  <si>
    <t>観光客
入込み客数</t>
    <rPh sb="0" eb="3">
      <t>カンコウキャク</t>
    </rPh>
    <rPh sb="4" eb="6">
      <t>イリコ</t>
    </rPh>
    <rPh sb="7" eb="9">
      <t>キャクスウ</t>
    </rPh>
    <phoneticPr fontId="2"/>
  </si>
  <si>
    <t>ホテル・
宿泊室数</t>
    <phoneticPr fontId="2"/>
  </si>
  <si>
    <t>一次</t>
    <rPh sb="0" eb="2">
      <t>イチジ</t>
    </rPh>
    <phoneticPr fontId="2"/>
  </si>
  <si>
    <t>二次</t>
    <rPh sb="0" eb="2">
      <t>ニジ</t>
    </rPh>
    <phoneticPr fontId="2"/>
  </si>
  <si>
    <t>三次</t>
    <rPh sb="0" eb="2">
      <t>サンジ</t>
    </rPh>
    <phoneticPr fontId="2"/>
  </si>
  <si>
    <t>構成比</t>
    <rPh sb="0" eb="3">
      <t>コウセイヒ</t>
    </rPh>
    <phoneticPr fontId="2"/>
  </si>
  <si>
    <t>前回からの
伸び率</t>
    <rPh sb="0" eb="2">
      <t>ゼンカイ</t>
    </rPh>
    <rPh sb="6" eb="7">
      <t>ノ</t>
    </rPh>
    <rPh sb="8" eb="9">
      <t>リツ</t>
    </rPh>
    <phoneticPr fontId="2"/>
  </si>
  <si>
    <t>１事業所当たり
出荷額等</t>
    <rPh sb="1" eb="4">
      <t>ジギョウショ</t>
    </rPh>
    <rPh sb="4" eb="5">
      <t>ア</t>
    </rPh>
    <rPh sb="8" eb="10">
      <t>シュッカ</t>
    </rPh>
    <rPh sb="10" eb="11">
      <t>ガク</t>
    </rPh>
    <rPh sb="11" eb="12">
      <t>トウ</t>
    </rPh>
    <phoneticPr fontId="2"/>
  </si>
  <si>
    <t>１事業所当たり
売上額</t>
    <rPh sb="1" eb="4">
      <t>ジギョウショ</t>
    </rPh>
    <rPh sb="4" eb="5">
      <t>ア</t>
    </rPh>
    <rPh sb="8" eb="10">
      <t>ウリアゲ</t>
    </rPh>
    <rPh sb="10" eb="11">
      <t>ガク</t>
    </rPh>
    <phoneticPr fontId="2"/>
  </si>
  <si>
    <t xml:space="preserve"> 市名</t>
    <phoneticPr fontId="2"/>
  </si>
  <si>
    <t>所</t>
    <rPh sb="0" eb="1">
      <t>トコロ</t>
    </rPh>
    <phoneticPr fontId="2"/>
  </si>
  <si>
    <t>ha</t>
  </si>
  <si>
    <t>経営体数</t>
    <rPh sb="0" eb="2">
      <t>ケイエイ</t>
    </rPh>
    <rPh sb="2" eb="3">
      <t>カラダ</t>
    </rPh>
    <rPh sb="3" eb="4">
      <t>カズ</t>
    </rPh>
    <phoneticPr fontId="2"/>
  </si>
  <si>
    <t>所</t>
    <rPh sb="0" eb="1">
      <t>ショ</t>
    </rPh>
    <phoneticPr fontId="2"/>
  </si>
  <si>
    <t>百万円</t>
    <rPh sb="0" eb="3">
      <t>ヒャクマンエン</t>
    </rPh>
    <phoneticPr fontId="2"/>
  </si>
  <si>
    <t>百万円</t>
    <rPh sb="0" eb="1">
      <t>ヒャク</t>
    </rPh>
    <rPh sb="1" eb="2">
      <t>マン</t>
    </rPh>
    <rPh sb="2" eb="3">
      <t>エン</t>
    </rPh>
    <phoneticPr fontId="2"/>
  </si>
  <si>
    <t>室</t>
    <rPh sb="0" eb="1">
      <t>シツ</t>
    </rPh>
    <phoneticPr fontId="2"/>
  </si>
  <si>
    <t>...</t>
  </si>
  <si>
    <t>808,983</t>
  </si>
  <si>
    <t>平　均</t>
    <rPh sb="0" eb="1">
      <t>ヘイ</t>
    </rPh>
    <rPh sb="1" eb="2">
      <t>ナカヒラ</t>
    </rPh>
    <rPh sb="2" eb="3">
      <t>ヒトシ</t>
    </rPh>
    <phoneticPr fontId="2"/>
  </si>
  <si>
    <t>□金沢市の[観光客入込み客数]は令和３年中の数値。</t>
    <rPh sb="1" eb="4">
      <t>カナザワシ</t>
    </rPh>
    <rPh sb="6" eb="9">
      <t>カンコウキャク</t>
    </rPh>
    <rPh sb="9" eb="10">
      <t>イ</t>
    </rPh>
    <rPh sb="10" eb="11">
      <t>コ</t>
    </rPh>
    <rPh sb="12" eb="14">
      <t>キャクスウ</t>
    </rPh>
    <rPh sb="16" eb="18">
      <t>レイワ</t>
    </rPh>
    <rPh sb="19" eb="20">
      <t>トシ</t>
    </rPh>
    <rPh sb="20" eb="21">
      <t>チュウ</t>
    </rPh>
    <rPh sb="22" eb="24">
      <t>スウチ</t>
    </rPh>
    <phoneticPr fontId="2"/>
  </si>
  <si>
    <t>６　都　市</t>
    <rPh sb="2" eb="3">
      <t>ミヤコ</t>
    </rPh>
    <rPh sb="4" eb="5">
      <t>シ</t>
    </rPh>
    <phoneticPr fontId="2"/>
  </si>
  <si>
    <t>《道路》</t>
    <rPh sb="1" eb="3">
      <t>ドウロ</t>
    </rPh>
    <phoneticPr fontId="2"/>
  </si>
  <si>
    <t>《公園》</t>
    <rPh sb="1" eb="3">
      <t>コウエン</t>
    </rPh>
    <phoneticPr fontId="2"/>
  </si>
  <si>
    <t>《下水道》</t>
    <rPh sb="1" eb="4">
      <t>ゲスイドウ</t>
    </rPh>
    <phoneticPr fontId="2"/>
  </si>
  <si>
    <t>《上水道》</t>
    <rPh sb="1" eb="4">
      <t>ジョウスイドウ</t>
    </rPh>
    <phoneticPr fontId="2"/>
  </si>
  <si>
    <t>《住宅》</t>
    <rPh sb="1" eb="3">
      <t>ジュウタク</t>
    </rPh>
    <phoneticPr fontId="2"/>
  </si>
  <si>
    <t>項目</t>
    <phoneticPr fontId="2"/>
  </si>
  <si>
    <t>路線数</t>
    <rPh sb="0" eb="2">
      <t>ロセン</t>
    </rPh>
    <rPh sb="2" eb="3">
      <t>スウ</t>
    </rPh>
    <phoneticPr fontId="2"/>
  </si>
  <si>
    <t>道路総延長</t>
    <rPh sb="0" eb="2">
      <t>ドウロ</t>
    </rPh>
    <rPh sb="2" eb="5">
      <t>ソウエンチョウ</t>
    </rPh>
    <phoneticPr fontId="2"/>
  </si>
  <si>
    <t>道路総延長（内訳）</t>
    <rPh sb="0" eb="2">
      <t>ドウロ</t>
    </rPh>
    <rPh sb="2" eb="3">
      <t>ソウ</t>
    </rPh>
    <rPh sb="3" eb="5">
      <t>エンチョウ</t>
    </rPh>
    <rPh sb="6" eb="8">
      <t>ウチワケ</t>
    </rPh>
    <phoneticPr fontId="2"/>
  </si>
  <si>
    <t>都市公園数</t>
    <rPh sb="0" eb="2">
      <t>トシ</t>
    </rPh>
    <rPh sb="2" eb="4">
      <t>コウエン</t>
    </rPh>
    <rPh sb="4" eb="5">
      <t>スウ</t>
    </rPh>
    <phoneticPr fontId="2"/>
  </si>
  <si>
    <t>市民１人
当たり
面積</t>
    <rPh sb="0" eb="2">
      <t>シミン</t>
    </rPh>
    <rPh sb="3" eb="4">
      <t>ニン</t>
    </rPh>
    <rPh sb="5" eb="6">
      <t>ア</t>
    </rPh>
    <rPh sb="9" eb="11">
      <t>メンセキ</t>
    </rPh>
    <phoneticPr fontId="2"/>
  </si>
  <si>
    <t>下水
処理
場数</t>
    <rPh sb="0" eb="2">
      <t>ゲスイ</t>
    </rPh>
    <rPh sb="3" eb="5">
      <t>ショリ</t>
    </rPh>
    <rPh sb="6" eb="8">
      <t>バカズ</t>
    </rPh>
    <phoneticPr fontId="2"/>
  </si>
  <si>
    <t>処理区域内人口</t>
    <rPh sb="0" eb="2">
      <t>ショリ</t>
    </rPh>
    <rPh sb="2" eb="5">
      <t>クイキナイ</t>
    </rPh>
    <rPh sb="5" eb="7">
      <t>ジンコウ</t>
    </rPh>
    <phoneticPr fontId="2"/>
  </si>
  <si>
    <t>年間有収水量</t>
    <rPh sb="0" eb="2">
      <t>ネンカン</t>
    </rPh>
    <rPh sb="2" eb="3">
      <t>ユウ</t>
    </rPh>
    <rPh sb="3" eb="4">
      <t>シュウ</t>
    </rPh>
    <rPh sb="4" eb="5">
      <t>スイ</t>
    </rPh>
    <rPh sb="5" eb="6">
      <t>リョウ</t>
    </rPh>
    <phoneticPr fontId="2"/>
  </si>
  <si>
    <t>給水人口</t>
    <rPh sb="0" eb="2">
      <t>キュウスイ</t>
    </rPh>
    <rPh sb="2" eb="4">
      <t>ジンコウ</t>
    </rPh>
    <phoneticPr fontId="2"/>
  </si>
  <si>
    <t>１人当た
り年間
使用量</t>
    <phoneticPr fontId="2"/>
  </si>
  <si>
    <t>浄水施設
の耐震化
率</t>
    <rPh sb="0" eb="2">
      <t>ジョウスイ</t>
    </rPh>
    <rPh sb="2" eb="4">
      <t>シセツ</t>
    </rPh>
    <rPh sb="6" eb="9">
      <t>タイシンカ</t>
    </rPh>
    <rPh sb="10" eb="11">
      <t>リツ</t>
    </rPh>
    <phoneticPr fontId="2"/>
  </si>
  <si>
    <t>配水池
の耐震化
率</t>
    <rPh sb="0" eb="2">
      <t>ハイスイ</t>
    </rPh>
    <rPh sb="2" eb="3">
      <t>イケ</t>
    </rPh>
    <rPh sb="5" eb="7">
      <t>タイシン</t>
    </rPh>
    <rPh sb="7" eb="8">
      <t>ケ</t>
    </rPh>
    <rPh sb="9" eb="10">
      <t>リツ</t>
    </rPh>
    <phoneticPr fontId="2"/>
  </si>
  <si>
    <t>管路の
耐震管
率</t>
    <rPh sb="0" eb="2">
      <t>カンロ</t>
    </rPh>
    <rPh sb="4" eb="6">
      <t>タイシン</t>
    </rPh>
    <rPh sb="6" eb="7">
      <t>カン</t>
    </rPh>
    <rPh sb="8" eb="9">
      <t>リツ</t>
    </rPh>
    <phoneticPr fontId="2"/>
  </si>
  <si>
    <t>基幹管路の耐震適合率</t>
    <phoneticPr fontId="2"/>
  </si>
  <si>
    <t>新設住宅着工戸数</t>
    <phoneticPr fontId="2"/>
  </si>
  <si>
    <t>公　共　賃　貸　住　宅　数</t>
    <rPh sb="0" eb="1">
      <t>コウ</t>
    </rPh>
    <rPh sb="2" eb="3">
      <t>トモ</t>
    </rPh>
    <rPh sb="4" eb="5">
      <t>チン</t>
    </rPh>
    <rPh sb="6" eb="7">
      <t>カシ</t>
    </rPh>
    <rPh sb="8" eb="9">
      <t>ジュウ</t>
    </rPh>
    <rPh sb="10" eb="11">
      <t>タク</t>
    </rPh>
    <rPh sb="12" eb="13">
      <t>スウ</t>
    </rPh>
    <phoneticPr fontId="2"/>
  </si>
  <si>
    <t>サービス付き
高齢者向け住宅数</t>
    <rPh sb="4" eb="5">
      <t>ツ</t>
    </rPh>
    <rPh sb="7" eb="10">
      <t>コウレイシャ</t>
    </rPh>
    <rPh sb="10" eb="11">
      <t>ム</t>
    </rPh>
    <rPh sb="12" eb="14">
      <t>ジュウタク</t>
    </rPh>
    <rPh sb="14" eb="15">
      <t>スウ</t>
    </rPh>
    <phoneticPr fontId="2"/>
  </si>
  <si>
    <t>国道</t>
    <rPh sb="0" eb="1">
      <t>クニ</t>
    </rPh>
    <rPh sb="1" eb="2">
      <t>ミチ</t>
    </rPh>
    <phoneticPr fontId="2"/>
  </si>
  <si>
    <t>都道府県道</t>
    <rPh sb="0" eb="2">
      <t>トドウ</t>
    </rPh>
    <rPh sb="2" eb="4">
      <t>フケン</t>
    </rPh>
    <rPh sb="4" eb="5">
      <t>ミチ</t>
    </rPh>
    <phoneticPr fontId="2"/>
  </si>
  <si>
    <t>市道</t>
    <rPh sb="0" eb="1">
      <t>シ</t>
    </rPh>
    <rPh sb="1" eb="2">
      <t>ドウ</t>
    </rPh>
    <phoneticPr fontId="2"/>
  </si>
  <si>
    <t>人口
普及率</t>
    <rPh sb="0" eb="2">
      <t>ジンコウ</t>
    </rPh>
    <rPh sb="3" eb="5">
      <t>フキュウ</t>
    </rPh>
    <rPh sb="5" eb="6">
      <t>リツ</t>
    </rPh>
    <phoneticPr fontId="2"/>
  </si>
  <si>
    <t>有収率</t>
    <rPh sb="0" eb="1">
      <t>ユウ</t>
    </rPh>
    <rPh sb="1" eb="2">
      <t>シュウ</t>
    </rPh>
    <rPh sb="2" eb="3">
      <t>リツ</t>
    </rPh>
    <phoneticPr fontId="2"/>
  </si>
  <si>
    <t>（令和４年度）</t>
    <phoneticPr fontId="2"/>
  </si>
  <si>
    <t>１住宅当たり
延床面積</t>
    <rPh sb="1" eb="3">
      <t>ジュウタク</t>
    </rPh>
    <rPh sb="3" eb="4">
      <t>ア</t>
    </rPh>
    <rPh sb="7" eb="8">
      <t>ノ</t>
    </rPh>
    <rPh sb="8" eb="9">
      <t>ユカ</t>
    </rPh>
    <rPh sb="9" eb="11">
      <t>メンセキ</t>
    </rPh>
    <phoneticPr fontId="2"/>
  </si>
  <si>
    <t>市営</t>
    <rPh sb="0" eb="2">
      <t>シエイ</t>
    </rPh>
    <phoneticPr fontId="2"/>
  </si>
  <si>
    <t>市公社</t>
    <rPh sb="0" eb="1">
      <t>シ</t>
    </rPh>
    <rPh sb="1" eb="3">
      <t>コウシャ</t>
    </rPh>
    <phoneticPr fontId="2"/>
  </si>
  <si>
    <t>都道府県営</t>
    <rPh sb="0" eb="1">
      <t>ミヤコ</t>
    </rPh>
    <rPh sb="1" eb="2">
      <t>ミチ</t>
    </rPh>
    <rPh sb="2" eb="3">
      <t>フ</t>
    </rPh>
    <rPh sb="3" eb="4">
      <t>ケン</t>
    </rPh>
    <rPh sb="4" eb="5">
      <t>エイ</t>
    </rPh>
    <phoneticPr fontId="2"/>
  </si>
  <si>
    <t>都道府県
公社</t>
    <rPh sb="0" eb="4">
      <t>トドウフケン</t>
    </rPh>
    <rPh sb="5" eb="7">
      <t>コウシャ</t>
    </rPh>
    <phoneticPr fontId="2"/>
  </si>
  <si>
    <t>都市
再生機構</t>
    <rPh sb="0" eb="2">
      <t>トシ</t>
    </rPh>
    <rPh sb="3" eb="5">
      <t>サイセイ</t>
    </rPh>
    <rPh sb="5" eb="7">
      <t>キコウ</t>
    </rPh>
    <phoneticPr fontId="2"/>
  </si>
  <si>
    <t xml:space="preserve"> 市名</t>
  </si>
  <si>
    <t>㎞</t>
    <phoneticPr fontId="2"/>
  </si>
  <si>
    <t>㎡</t>
    <phoneticPr fontId="2"/>
  </si>
  <si>
    <t>㎥</t>
    <phoneticPr fontId="2"/>
  </si>
  <si>
    <t>戸</t>
    <rPh sb="0" eb="1">
      <t>コ</t>
    </rPh>
    <phoneticPr fontId="2"/>
  </si>
  <si>
    <t>非公表</t>
    <phoneticPr fontId="2"/>
  </si>
  <si>
    <t>□那覇市の国道及び都道府県道は令和3年4月1日現在の数値。</t>
    <rPh sb="1" eb="4">
      <t>ナハシ</t>
    </rPh>
    <rPh sb="5" eb="7">
      <t>コクドウ</t>
    </rPh>
    <rPh sb="7" eb="8">
      <t>オヨ</t>
    </rPh>
    <rPh sb="9" eb="14">
      <t>トドウフケンドウ</t>
    </rPh>
    <rPh sb="15" eb="17">
      <t>レイワ</t>
    </rPh>
    <rPh sb="18" eb="19">
      <t>ネン</t>
    </rPh>
    <rPh sb="20" eb="21">
      <t>ガツ</t>
    </rPh>
    <rPh sb="22" eb="23">
      <t>ニチ</t>
    </rPh>
    <rPh sb="23" eb="25">
      <t>ゲンザイ</t>
    </rPh>
    <rPh sb="26" eb="28">
      <t>スウチ</t>
    </rPh>
    <phoneticPr fontId="2"/>
  </si>
  <si>
    <t>７　施　設</t>
    <rPh sb="2" eb="3">
      <t>シ</t>
    </rPh>
    <rPh sb="4" eb="5">
      <t>セツ</t>
    </rPh>
    <phoneticPr fontId="2"/>
  </si>
  <si>
    <t>《教育施設》</t>
    <rPh sb="1" eb="3">
      <t>キョウイク</t>
    </rPh>
    <rPh sb="3" eb="5">
      <t>シセツ</t>
    </rPh>
    <phoneticPr fontId="2"/>
  </si>
  <si>
    <t>《スポーツ施設》</t>
    <phoneticPr fontId="2"/>
  </si>
  <si>
    <t>《文化施設》</t>
    <rPh sb="1" eb="3">
      <t>ブンカ</t>
    </rPh>
    <phoneticPr fontId="2"/>
  </si>
  <si>
    <t>《放課後児童クラブ》</t>
    <rPh sb="1" eb="4">
      <t>ホウカゴ</t>
    </rPh>
    <rPh sb="4" eb="6">
      <t>ジドウ</t>
    </rPh>
    <phoneticPr fontId="2"/>
  </si>
  <si>
    <t>《消防・防災》</t>
    <rPh sb="1" eb="3">
      <t>ショウボウ</t>
    </rPh>
    <rPh sb="4" eb="6">
      <t>ボウサイ</t>
    </rPh>
    <phoneticPr fontId="2"/>
  </si>
  <si>
    <t>《公共施設等》</t>
    <rPh sb="1" eb="3">
      <t>コウキョウ</t>
    </rPh>
    <rPh sb="3" eb="5">
      <t>シセツ</t>
    </rPh>
    <rPh sb="5" eb="6">
      <t>トウ</t>
    </rPh>
    <phoneticPr fontId="2"/>
  </si>
  <si>
    <t>幼稚園</t>
    <rPh sb="0" eb="3">
      <t>ヨウチエン</t>
    </rPh>
    <phoneticPr fontId="2"/>
  </si>
  <si>
    <t>小学校</t>
    <rPh sb="0" eb="3">
      <t>ショウガッコウ</t>
    </rPh>
    <phoneticPr fontId="2"/>
  </si>
  <si>
    <t>中学校</t>
    <rPh sb="0" eb="3">
      <t>チュウガッコウ</t>
    </rPh>
    <phoneticPr fontId="2"/>
  </si>
  <si>
    <t>義務教育学校</t>
    <rPh sb="0" eb="2">
      <t>ギム</t>
    </rPh>
    <rPh sb="2" eb="4">
      <t>キョウイク</t>
    </rPh>
    <rPh sb="4" eb="6">
      <t>ガッコウ</t>
    </rPh>
    <phoneticPr fontId="2"/>
  </si>
  <si>
    <t>高等学校（全日制）</t>
    <rPh sb="0" eb="2">
      <t>コウトウ</t>
    </rPh>
    <rPh sb="2" eb="4">
      <t>ガッコウ</t>
    </rPh>
    <rPh sb="5" eb="8">
      <t>ゼンニチセイ</t>
    </rPh>
    <phoneticPr fontId="2"/>
  </si>
  <si>
    <t>高等学校（全日制以外）</t>
    <rPh sb="0" eb="2">
      <t>コウトウ</t>
    </rPh>
    <rPh sb="2" eb="4">
      <t>ガッコウ</t>
    </rPh>
    <rPh sb="5" eb="8">
      <t>ゼンニチセイ</t>
    </rPh>
    <rPh sb="8" eb="10">
      <t>イガイ</t>
    </rPh>
    <phoneticPr fontId="2"/>
  </si>
  <si>
    <t>市立大学数</t>
    <rPh sb="0" eb="2">
      <t>シリツ</t>
    </rPh>
    <rPh sb="2" eb="3">
      <t>ダイ</t>
    </rPh>
    <rPh sb="3" eb="4">
      <t>ガク</t>
    </rPh>
    <rPh sb="4" eb="5">
      <t>スウ</t>
    </rPh>
    <phoneticPr fontId="2"/>
  </si>
  <si>
    <t>特別支援学校数</t>
    <rPh sb="0" eb="2">
      <t>トクベツ</t>
    </rPh>
    <rPh sb="2" eb="4">
      <t>シエン</t>
    </rPh>
    <rPh sb="4" eb="6">
      <t>ガッコウ</t>
    </rPh>
    <rPh sb="6" eb="7">
      <t>スウ</t>
    </rPh>
    <phoneticPr fontId="2"/>
  </si>
  <si>
    <t>図書館</t>
    <rPh sb="0" eb="1">
      <t>ズ</t>
    </rPh>
    <rPh sb="1" eb="2">
      <t>ショ</t>
    </rPh>
    <rPh sb="2" eb="3">
      <t>ヤカタ</t>
    </rPh>
    <phoneticPr fontId="2"/>
  </si>
  <si>
    <t>博物館等数</t>
    <rPh sb="0" eb="1">
      <t>ヒロシ</t>
    </rPh>
    <rPh sb="1" eb="2">
      <t>ブツ</t>
    </rPh>
    <rPh sb="2" eb="3">
      <t>ヤカタ</t>
    </rPh>
    <rPh sb="3" eb="4">
      <t>トウ</t>
    </rPh>
    <rPh sb="4" eb="5">
      <t>スウ</t>
    </rPh>
    <phoneticPr fontId="2"/>
  </si>
  <si>
    <t>公民館</t>
    <rPh sb="0" eb="3">
      <t>コウミンカン</t>
    </rPh>
    <phoneticPr fontId="2"/>
  </si>
  <si>
    <t>体育館</t>
    <rPh sb="0" eb="1">
      <t>カラダ</t>
    </rPh>
    <rPh sb="1" eb="2">
      <t>イク</t>
    </rPh>
    <rPh sb="2" eb="3">
      <t>ヤカタ</t>
    </rPh>
    <phoneticPr fontId="2"/>
  </si>
  <si>
    <t>陸上競技場</t>
    <rPh sb="0" eb="2">
      <t>リクジョウ</t>
    </rPh>
    <rPh sb="2" eb="4">
      <t>キョウギ</t>
    </rPh>
    <rPh sb="4" eb="5">
      <t>ジョウ</t>
    </rPh>
    <phoneticPr fontId="2"/>
  </si>
  <si>
    <t>野球場</t>
    <rPh sb="0" eb="1">
      <t>ノ</t>
    </rPh>
    <rPh sb="1" eb="2">
      <t>タマ</t>
    </rPh>
    <rPh sb="2" eb="3">
      <t>バ</t>
    </rPh>
    <phoneticPr fontId="2"/>
  </si>
  <si>
    <t>プール</t>
    <phoneticPr fontId="2"/>
  </si>
  <si>
    <t>テニスコート</t>
    <phoneticPr fontId="2"/>
  </si>
  <si>
    <t>公会堂・市民会館</t>
    <rPh sb="0" eb="3">
      <t>コウカイドウ</t>
    </rPh>
    <rPh sb="4" eb="6">
      <t>シミン</t>
    </rPh>
    <rPh sb="6" eb="8">
      <t>カイカン</t>
    </rPh>
    <phoneticPr fontId="2"/>
  </si>
  <si>
    <t>放課後児童クラブ（公設）</t>
    <rPh sb="0" eb="3">
      <t>ホウカゴ</t>
    </rPh>
    <rPh sb="3" eb="5">
      <t>ジドウ</t>
    </rPh>
    <rPh sb="9" eb="11">
      <t>コウセツ</t>
    </rPh>
    <phoneticPr fontId="2"/>
  </si>
  <si>
    <t>放課後児童クラブ（民設）</t>
    <rPh sb="9" eb="10">
      <t>ミン</t>
    </rPh>
    <rPh sb="10" eb="11">
      <t>セツ</t>
    </rPh>
    <phoneticPr fontId="2"/>
  </si>
  <si>
    <t>消防職員数</t>
    <rPh sb="0" eb="1">
      <t>ケ</t>
    </rPh>
    <rPh sb="1" eb="2">
      <t>ボウ</t>
    </rPh>
    <phoneticPr fontId="2"/>
  </si>
  <si>
    <t>消防車両
保有数</t>
    <rPh sb="0" eb="2">
      <t>ショウボウ</t>
    </rPh>
    <rPh sb="2" eb="4">
      <t>シャリョウ</t>
    </rPh>
    <phoneticPr fontId="2"/>
  </si>
  <si>
    <t>救急車保有数</t>
    <rPh sb="0" eb="3">
      <t>キュウキュウシャ</t>
    </rPh>
    <rPh sb="3" eb="5">
      <t>ホユウ</t>
    </rPh>
    <rPh sb="5" eb="6">
      <t>スウ</t>
    </rPh>
    <phoneticPr fontId="2"/>
  </si>
  <si>
    <t>署・出張所数</t>
    <rPh sb="0" eb="1">
      <t>ショ</t>
    </rPh>
    <rPh sb="2" eb="4">
      <t>シュッチョウ</t>
    </rPh>
    <rPh sb="4" eb="5">
      <t>ジョ</t>
    </rPh>
    <rPh sb="5" eb="6">
      <t>スウ</t>
    </rPh>
    <phoneticPr fontId="2"/>
  </si>
  <si>
    <t>火災発生
件数</t>
    <rPh sb="0" eb="2">
      <t>カサイ</t>
    </rPh>
    <rPh sb="2" eb="4">
      <t>ハッセイ</t>
    </rPh>
    <rPh sb="5" eb="7">
      <t>ケンスウ</t>
    </rPh>
    <phoneticPr fontId="2"/>
  </si>
  <si>
    <t>救急出動
件数</t>
    <rPh sb="0" eb="2">
      <t>キュウキュウ</t>
    </rPh>
    <rPh sb="2" eb="4">
      <t>シュツドウ</t>
    </rPh>
    <rPh sb="5" eb="7">
      <t>ケンスウ</t>
    </rPh>
    <phoneticPr fontId="2"/>
  </si>
  <si>
    <t>救助出動
件数</t>
    <rPh sb="0" eb="2">
      <t>キュウジョ</t>
    </rPh>
    <rPh sb="2" eb="4">
      <t>シュツドウ</t>
    </rPh>
    <rPh sb="5" eb="7">
      <t>ケンスウ</t>
    </rPh>
    <phoneticPr fontId="2"/>
  </si>
  <si>
    <t>指定
緊急避難
場所</t>
    <rPh sb="0" eb="2">
      <t>シテイ</t>
    </rPh>
    <rPh sb="3" eb="5">
      <t>キンキュウ</t>
    </rPh>
    <rPh sb="5" eb="7">
      <t>ヒナン</t>
    </rPh>
    <rPh sb="8" eb="10">
      <t>バショ</t>
    </rPh>
    <phoneticPr fontId="2"/>
  </si>
  <si>
    <t>指定
避難所</t>
    <rPh sb="0" eb="2">
      <t>シテイ</t>
    </rPh>
    <rPh sb="3" eb="6">
      <t>ヒナンジョ</t>
    </rPh>
    <phoneticPr fontId="2"/>
  </si>
  <si>
    <t>指定管理者導入施設数</t>
    <rPh sb="0" eb="2">
      <t>シテイ</t>
    </rPh>
    <rPh sb="2" eb="4">
      <t>カンリ</t>
    </rPh>
    <rPh sb="4" eb="5">
      <t>シャ</t>
    </rPh>
    <rPh sb="5" eb="7">
      <t>ドウニュウ</t>
    </rPh>
    <rPh sb="7" eb="10">
      <t>シセツスウ</t>
    </rPh>
    <phoneticPr fontId="2"/>
  </si>
  <si>
    <t>行政財産延べ床面積</t>
    <rPh sb="0" eb="2">
      <t>ギョウセイ</t>
    </rPh>
    <rPh sb="2" eb="4">
      <t>ザイサン</t>
    </rPh>
    <rPh sb="4" eb="5">
      <t>ノ</t>
    </rPh>
    <rPh sb="6" eb="9">
      <t>ユカメンセキ</t>
    </rPh>
    <phoneticPr fontId="2"/>
  </si>
  <si>
    <t>普通財産延べ床面積</t>
    <rPh sb="0" eb="2">
      <t>フツウ</t>
    </rPh>
    <rPh sb="2" eb="4">
      <t>ザイサン</t>
    </rPh>
    <rPh sb="4" eb="5">
      <t>ノ</t>
    </rPh>
    <rPh sb="6" eb="9">
      <t>ユカメンセキ</t>
    </rPh>
    <phoneticPr fontId="2"/>
  </si>
  <si>
    <t>市立</t>
    <rPh sb="0" eb="2">
      <t>シリツ</t>
    </rPh>
    <phoneticPr fontId="2"/>
  </si>
  <si>
    <t>市立以外</t>
    <rPh sb="0" eb="2">
      <t>シリツ</t>
    </rPh>
    <rPh sb="2" eb="4">
      <t>イガイ</t>
    </rPh>
    <phoneticPr fontId="2"/>
  </si>
  <si>
    <t>短期
大学</t>
    <rPh sb="0" eb="2">
      <t>タンキ</t>
    </rPh>
    <rPh sb="3" eb="5">
      <t>ダイガク</t>
    </rPh>
    <phoneticPr fontId="2"/>
  </si>
  <si>
    <t>４年制以上の大学</t>
    <rPh sb="1" eb="3">
      <t>ネンセイ</t>
    </rPh>
    <rPh sb="3" eb="5">
      <t>イジョウ</t>
    </rPh>
    <rPh sb="6" eb="8">
      <t>ダイガク</t>
    </rPh>
    <phoneticPr fontId="2"/>
  </si>
  <si>
    <t>施設数</t>
    <rPh sb="0" eb="3">
      <t>シセツスウ</t>
    </rPh>
    <phoneticPr fontId="2"/>
  </si>
  <si>
    <t>蔵書冊数（電子資料を除く）</t>
    <rPh sb="0" eb="2">
      <t>ゾウショ</t>
    </rPh>
    <rPh sb="2" eb="4">
      <t>サッスウ</t>
    </rPh>
    <rPh sb="5" eb="7">
      <t>デンシ</t>
    </rPh>
    <rPh sb="7" eb="9">
      <t>シリョウ</t>
    </rPh>
    <rPh sb="10" eb="11">
      <t>ノゾ</t>
    </rPh>
    <phoneticPr fontId="2"/>
  </si>
  <si>
    <t>総貸出冊数
（電子資料を除く）</t>
    <rPh sb="0" eb="1">
      <t>ソウ</t>
    </rPh>
    <rPh sb="1" eb="3">
      <t>カシダシ</t>
    </rPh>
    <rPh sb="3" eb="5">
      <t>サツスウ</t>
    </rPh>
    <rPh sb="7" eb="9">
      <t>デンシ</t>
    </rPh>
    <rPh sb="9" eb="11">
      <t>シリョウ</t>
    </rPh>
    <rPh sb="12" eb="13">
      <t>ノゾ</t>
    </rPh>
    <phoneticPr fontId="2"/>
  </si>
  <si>
    <t>電子資料数</t>
    <rPh sb="0" eb="2">
      <t>デンシ</t>
    </rPh>
    <rPh sb="2" eb="4">
      <t>シリョウ</t>
    </rPh>
    <rPh sb="4" eb="5">
      <t>スウ</t>
    </rPh>
    <phoneticPr fontId="2"/>
  </si>
  <si>
    <t>総合</t>
    <rPh sb="0" eb="2">
      <t>ソウゴウ</t>
    </rPh>
    <phoneticPr fontId="2"/>
  </si>
  <si>
    <t>科学</t>
    <rPh sb="0" eb="2">
      <t>カガク</t>
    </rPh>
    <phoneticPr fontId="2"/>
  </si>
  <si>
    <t>歴史</t>
    <rPh sb="0" eb="2">
      <t>レキシ</t>
    </rPh>
    <phoneticPr fontId="2"/>
  </si>
  <si>
    <t>美術</t>
    <rPh sb="0" eb="2">
      <t>ビジュツ</t>
    </rPh>
    <phoneticPr fontId="2"/>
  </si>
  <si>
    <t>野外</t>
    <rPh sb="0" eb="2">
      <t>ヤガイ</t>
    </rPh>
    <phoneticPr fontId="2"/>
  </si>
  <si>
    <t>動物園</t>
    <rPh sb="0" eb="3">
      <t>ドウブツエン</t>
    </rPh>
    <phoneticPr fontId="2"/>
  </si>
  <si>
    <t>植物園</t>
    <rPh sb="0" eb="3">
      <t>ショクブツエン</t>
    </rPh>
    <phoneticPr fontId="2"/>
  </si>
  <si>
    <t>動植物園</t>
    <rPh sb="0" eb="1">
      <t>ドウ</t>
    </rPh>
    <rPh sb="1" eb="4">
      <t>ショクブツエン</t>
    </rPh>
    <phoneticPr fontId="2"/>
  </si>
  <si>
    <t>水族館</t>
    <rPh sb="0" eb="3">
      <t>スイゾクカン</t>
    </rPh>
    <phoneticPr fontId="2"/>
  </si>
  <si>
    <t>施設数</t>
    <rPh sb="0" eb="2">
      <t>シセツ</t>
    </rPh>
    <rPh sb="2" eb="3">
      <t>スウ</t>
    </rPh>
    <phoneticPr fontId="2"/>
  </si>
  <si>
    <t>延床面積</t>
    <rPh sb="0" eb="1">
      <t>エン</t>
    </rPh>
    <rPh sb="1" eb="2">
      <t>ユカ</t>
    </rPh>
    <rPh sb="2" eb="4">
      <t>メンセキ</t>
    </rPh>
    <phoneticPr fontId="2"/>
  </si>
  <si>
    <t>敷地面積</t>
    <rPh sb="0" eb="2">
      <t>シキチ</t>
    </rPh>
    <rPh sb="2" eb="4">
      <t>メンセキ</t>
    </rPh>
    <phoneticPr fontId="2"/>
  </si>
  <si>
    <t>水面面積</t>
    <rPh sb="0" eb="2">
      <t>スイメン</t>
    </rPh>
    <rPh sb="2" eb="4">
      <t>メンセキ</t>
    </rPh>
    <phoneticPr fontId="2"/>
  </si>
  <si>
    <t>大ホール収容定員</t>
    <phoneticPr fontId="2"/>
  </si>
  <si>
    <t>公営</t>
    <rPh sb="0" eb="2">
      <t>コウエイ</t>
    </rPh>
    <phoneticPr fontId="2"/>
  </si>
  <si>
    <t>民営</t>
    <rPh sb="0" eb="2">
      <t>ミンエイ</t>
    </rPh>
    <phoneticPr fontId="2"/>
  </si>
  <si>
    <t>署</t>
    <rPh sb="0" eb="1">
      <t>ショ</t>
    </rPh>
    <phoneticPr fontId="2"/>
  </si>
  <si>
    <t>分署</t>
    <rPh sb="0" eb="2">
      <t>ブンショ</t>
    </rPh>
    <phoneticPr fontId="2"/>
  </si>
  <si>
    <t>出張所</t>
    <rPh sb="0" eb="2">
      <t>シュッチョウ</t>
    </rPh>
    <rPh sb="2" eb="3">
      <t>ジョ</t>
    </rPh>
    <phoneticPr fontId="2"/>
  </si>
  <si>
    <t>レクリエーション・スポーツ施設</t>
    <rPh sb="13" eb="15">
      <t>シセツ</t>
    </rPh>
    <phoneticPr fontId="2"/>
  </si>
  <si>
    <t>産業振興
施設</t>
    <rPh sb="0" eb="2">
      <t>サンギョウ</t>
    </rPh>
    <rPh sb="2" eb="4">
      <t>シンコウ</t>
    </rPh>
    <rPh sb="5" eb="7">
      <t>シセツ</t>
    </rPh>
    <phoneticPr fontId="2"/>
  </si>
  <si>
    <t>基盤施設</t>
    <rPh sb="0" eb="2">
      <t>キバン</t>
    </rPh>
    <rPh sb="2" eb="4">
      <t>シセツ</t>
    </rPh>
    <phoneticPr fontId="2"/>
  </si>
  <si>
    <t>文教施設</t>
    <rPh sb="0" eb="2">
      <t>ブンキョウ</t>
    </rPh>
    <rPh sb="2" eb="4">
      <t>シセツ</t>
    </rPh>
    <phoneticPr fontId="2"/>
  </si>
  <si>
    <t>社会福祉
施設</t>
    <rPh sb="0" eb="2">
      <t>シャカイ</t>
    </rPh>
    <rPh sb="2" eb="4">
      <t>フクシ</t>
    </rPh>
    <rPh sb="5" eb="7">
      <t>シセツ</t>
    </rPh>
    <phoneticPr fontId="2"/>
  </si>
  <si>
    <t>その他の施設</t>
    <rPh sb="0" eb="6">
      <t>チイキコウリュウシセツナド</t>
    </rPh>
    <phoneticPr fontId="2"/>
  </si>
  <si>
    <t>園数</t>
    <rPh sb="0" eb="1">
      <t>エン</t>
    </rPh>
    <rPh sb="1" eb="2">
      <t>スウ</t>
    </rPh>
    <phoneticPr fontId="2"/>
  </si>
  <si>
    <t>在園者数</t>
    <rPh sb="0" eb="1">
      <t>ザイ</t>
    </rPh>
    <rPh sb="1" eb="2">
      <t>エン</t>
    </rPh>
    <rPh sb="2" eb="3">
      <t>シャ</t>
    </rPh>
    <rPh sb="3" eb="4">
      <t>スウ</t>
    </rPh>
    <phoneticPr fontId="2"/>
  </si>
  <si>
    <t>教職員数</t>
    <rPh sb="0" eb="3">
      <t>キョウショクイン</t>
    </rPh>
    <rPh sb="3" eb="4">
      <t>スウ</t>
    </rPh>
    <phoneticPr fontId="2"/>
  </si>
  <si>
    <t>学校数</t>
    <rPh sb="0" eb="2">
      <t>ガッコウ</t>
    </rPh>
    <rPh sb="2" eb="3">
      <t>スウ</t>
    </rPh>
    <phoneticPr fontId="2"/>
  </si>
  <si>
    <t>児童数</t>
    <rPh sb="0" eb="2">
      <t>ジドウ</t>
    </rPh>
    <rPh sb="2" eb="3">
      <t>スウ</t>
    </rPh>
    <phoneticPr fontId="2"/>
  </si>
  <si>
    <t>生徒数</t>
    <rPh sb="0" eb="2">
      <t>セイト</t>
    </rPh>
    <rPh sb="2" eb="3">
      <t>スウ</t>
    </rPh>
    <phoneticPr fontId="2"/>
  </si>
  <si>
    <t>うち確認を受けた園数</t>
    <rPh sb="2" eb="4">
      <t>カクニン</t>
    </rPh>
    <rPh sb="5" eb="6">
      <t>ウ</t>
    </rPh>
    <rPh sb="8" eb="9">
      <t>エン</t>
    </rPh>
    <rPh sb="9" eb="10">
      <t>スウ</t>
    </rPh>
    <phoneticPr fontId="2"/>
  </si>
  <si>
    <t>うち1号認定子どもの数</t>
    <rPh sb="3" eb="4">
      <t>ゴウ</t>
    </rPh>
    <rPh sb="4" eb="6">
      <t>ニンテイ</t>
    </rPh>
    <rPh sb="6" eb="7">
      <t>コ</t>
    </rPh>
    <rPh sb="10" eb="11">
      <t>カズ</t>
    </rPh>
    <phoneticPr fontId="2"/>
  </si>
  <si>
    <t>市民１００人
当たり蔵書冊数</t>
    <rPh sb="0" eb="2">
      <t>シミン</t>
    </rPh>
    <rPh sb="5" eb="6">
      <t>ニン</t>
    </rPh>
    <rPh sb="7" eb="8">
      <t>ア</t>
    </rPh>
    <rPh sb="10" eb="12">
      <t>ゾウショ</t>
    </rPh>
    <rPh sb="12" eb="13">
      <t>サツ</t>
    </rPh>
    <rPh sb="13" eb="14">
      <t>スウ</t>
    </rPh>
    <phoneticPr fontId="2"/>
  </si>
  <si>
    <t>登録児童</t>
    <rPh sb="0" eb="2">
      <t>トウロク</t>
    </rPh>
    <rPh sb="2" eb="4">
      <t>ジドウ</t>
    </rPh>
    <phoneticPr fontId="2"/>
  </si>
  <si>
    <t>　うち高規格救急車保有数</t>
    <rPh sb="3" eb="6">
      <t>コウキカク</t>
    </rPh>
    <rPh sb="6" eb="9">
      <t>キュウキュウシャ</t>
    </rPh>
    <rPh sb="9" eb="11">
      <t>ホユウ</t>
    </rPh>
    <rPh sb="11" eb="12">
      <t>スウ</t>
    </rPh>
    <phoneticPr fontId="2"/>
  </si>
  <si>
    <t>市名</t>
    <phoneticPr fontId="2"/>
  </si>
  <si>
    <t>園</t>
    <rPh sb="0" eb="1">
      <t>エン</t>
    </rPh>
    <phoneticPr fontId="2"/>
  </si>
  <si>
    <t>校</t>
    <rPh sb="0" eb="1">
      <t>コウ</t>
    </rPh>
    <phoneticPr fontId="2"/>
  </si>
  <si>
    <t>館</t>
    <rPh sb="0" eb="1">
      <t>カン</t>
    </rPh>
    <phoneticPr fontId="2"/>
  </si>
  <si>
    <t>冊</t>
    <rPh sb="0" eb="1">
      <t>サツ</t>
    </rPh>
    <phoneticPr fontId="2"/>
  </si>
  <si>
    <t>タイトル</t>
    <phoneticPr fontId="2"/>
  </si>
  <si>
    <t>面</t>
    <rPh sb="0" eb="1">
      <t>メン</t>
    </rPh>
    <phoneticPr fontId="2"/>
  </si>
  <si>
    <t>箇所</t>
  </si>
  <si>
    <t>台</t>
    <rPh sb="0" eb="1">
      <t>ダイ</t>
    </rPh>
    <phoneticPr fontId="2"/>
  </si>
  <si>
    <t>件</t>
    <rPh sb="0" eb="1">
      <t>ケン</t>
    </rPh>
    <phoneticPr fontId="2"/>
  </si>
  <si>
    <t>箇所</t>
    <rPh sb="0" eb="2">
      <t>カショ</t>
    </rPh>
    <phoneticPr fontId="2"/>
  </si>
  <si>
    <t>3</t>
  </si>
  <si>
    <t>□姫路市の[中学校][市立学校以外][学校数]は休校中１校を含む。</t>
    <phoneticPr fontId="2"/>
  </si>
  <si>
    <t>□一宮市の電子資料数は令和5年10月1日現在の数値。</t>
    <phoneticPr fontId="2"/>
  </si>
  <si>
    <t>歳入総額（Ａ）</t>
  </si>
  <si>
    <t>歳出総額（Ｂ）</t>
  </si>
  <si>
    <t>形式収支（Ｃ）
（A）－（Ｂ）</t>
    <phoneticPr fontId="2"/>
  </si>
  <si>
    <t>翌年度へ繰り越
すべき財源（Ｄ）</t>
    <rPh sb="0" eb="1">
      <t>ヨク</t>
    </rPh>
    <rPh sb="1" eb="3">
      <t>ネンド</t>
    </rPh>
    <rPh sb="4" eb="5">
      <t>ク</t>
    </rPh>
    <rPh sb="6" eb="7">
      <t>コ</t>
    </rPh>
    <phoneticPr fontId="2"/>
  </si>
  <si>
    <t>実質収支（Ｅ）
（Ｃ）－（Ｄ）</t>
    <phoneticPr fontId="2"/>
  </si>
  <si>
    <t>単年度収支（Ｆ）</t>
    <rPh sb="0" eb="3">
      <t>タンネンド</t>
    </rPh>
    <rPh sb="3" eb="5">
      <t>シュウシ</t>
    </rPh>
    <phoneticPr fontId="2"/>
  </si>
  <si>
    <t>積立金（G）</t>
    <rPh sb="0" eb="2">
      <t>ツミタテ</t>
    </rPh>
    <rPh sb="2" eb="3">
      <t>キン</t>
    </rPh>
    <phoneticPr fontId="2"/>
  </si>
  <si>
    <t>繰上償還金（Ｈ）</t>
    <rPh sb="0" eb="2">
      <t>クリア</t>
    </rPh>
    <rPh sb="2" eb="4">
      <t>ショウカン</t>
    </rPh>
    <rPh sb="4" eb="5">
      <t>キン</t>
    </rPh>
    <phoneticPr fontId="2"/>
  </si>
  <si>
    <t>積立金
取崩額（Ｉ）</t>
    <rPh sb="0" eb="2">
      <t>ツミタテ</t>
    </rPh>
    <rPh sb="2" eb="3">
      <t>キン</t>
    </rPh>
    <rPh sb="4" eb="6">
      <t>トリクズシ</t>
    </rPh>
    <phoneticPr fontId="2"/>
  </si>
  <si>
    <t>実質単年度収支</t>
    <rPh sb="0" eb="2">
      <t>ジッシツ</t>
    </rPh>
    <rPh sb="2" eb="5">
      <t>タンネンド</t>
    </rPh>
    <phoneticPr fontId="2"/>
  </si>
  <si>
    <t>普通交付税</t>
    <rPh sb="0" eb="2">
      <t>フツウ</t>
    </rPh>
    <rPh sb="2" eb="5">
      <t>コウフゼイ</t>
    </rPh>
    <phoneticPr fontId="2"/>
  </si>
  <si>
    <t>基準財政
需要額</t>
    <rPh sb="0" eb="2">
      <t>キジュン</t>
    </rPh>
    <rPh sb="2" eb="4">
      <t>ザイセイ</t>
    </rPh>
    <phoneticPr fontId="2"/>
  </si>
  <si>
    <t>基準財政
収入額</t>
    <rPh sb="0" eb="2">
      <t>キジュン</t>
    </rPh>
    <rPh sb="2" eb="4">
      <t>ザイセイ</t>
    </rPh>
    <phoneticPr fontId="2"/>
  </si>
  <si>
    <t>標準財政規模</t>
    <rPh sb="0" eb="2">
      <t>ヒョウジュン</t>
    </rPh>
    <rPh sb="2" eb="4">
      <t>ザイセイ</t>
    </rPh>
    <rPh sb="4" eb="6">
      <t>キボ</t>
    </rPh>
    <phoneticPr fontId="2"/>
  </si>
  <si>
    <t>財政力
指数</t>
    <rPh sb="0" eb="2">
      <t>ザイセイ</t>
    </rPh>
    <rPh sb="2" eb="3">
      <t>リョク</t>
    </rPh>
    <rPh sb="4" eb="6">
      <t>シスウ</t>
    </rPh>
    <phoneticPr fontId="2"/>
  </si>
  <si>
    <t>経常
収支
比率</t>
    <rPh sb="0" eb="2">
      <t>ケイジョウ</t>
    </rPh>
    <rPh sb="3" eb="5">
      <t>シュウシ</t>
    </rPh>
    <phoneticPr fontId="2"/>
  </si>
  <si>
    <r>
      <t xml:space="preserve">人件費
比率
</t>
    </r>
    <r>
      <rPr>
        <sz val="11"/>
        <rFont val="ＭＳ Ｐ明朝"/>
        <family val="1"/>
        <charset val="128"/>
      </rPr>
      <t>(構成比)</t>
    </r>
    <rPh sb="0" eb="3">
      <t>ジンケンヒ</t>
    </rPh>
    <rPh sb="4" eb="6">
      <t>ヒリツ</t>
    </rPh>
    <rPh sb="8" eb="11">
      <t>コウセイヒ</t>
    </rPh>
    <phoneticPr fontId="2"/>
  </si>
  <si>
    <t>実質
収支
比率</t>
    <rPh sb="0" eb="2">
      <t>ジッシツ</t>
    </rPh>
    <rPh sb="3" eb="5">
      <t>シュウシ</t>
    </rPh>
    <phoneticPr fontId="2"/>
  </si>
  <si>
    <t>実質
公債費
比率</t>
    <phoneticPr fontId="2"/>
  </si>
  <si>
    <t>将来負担比率</t>
    <phoneticPr fontId="2"/>
  </si>
  <si>
    <t>積立金
現在高</t>
    <rPh sb="0" eb="2">
      <t>ツミタテ</t>
    </rPh>
    <rPh sb="2" eb="3">
      <t>キン</t>
    </rPh>
    <phoneticPr fontId="2"/>
  </si>
  <si>
    <t>地方債
現在高</t>
    <rPh sb="0" eb="3">
      <t>チホウサイ</t>
    </rPh>
    <phoneticPr fontId="2"/>
  </si>
  <si>
    <t>収益事業
収入額</t>
    <rPh sb="0" eb="2">
      <t>シュウエキ</t>
    </rPh>
    <rPh sb="2" eb="4">
      <t>ジギョウ</t>
    </rPh>
    <phoneticPr fontId="2"/>
  </si>
  <si>
    <t>債務負担
行為額</t>
    <rPh sb="0" eb="2">
      <t>サイム</t>
    </rPh>
    <rPh sb="2" eb="4">
      <t>フタン</t>
    </rPh>
    <phoneticPr fontId="2"/>
  </si>
  <si>
    <t>財政調整基金残高</t>
    <phoneticPr fontId="2"/>
  </si>
  <si>
    <t>（Ｊ）</t>
  </si>
  <si>
    <t>（交付・不交
付の区分）</t>
    <rPh sb="1" eb="3">
      <t>コウフ</t>
    </rPh>
    <rPh sb="4" eb="5">
      <t>フ</t>
    </rPh>
    <rPh sb="5" eb="6">
      <t>コウ</t>
    </rPh>
    <rPh sb="7" eb="8">
      <t>ヅケ</t>
    </rPh>
    <rPh sb="9" eb="11">
      <t>クブン</t>
    </rPh>
    <phoneticPr fontId="2"/>
  </si>
  <si>
    <t>（Ｆ）+（G）+（Ｈ）-（Ｉ）</t>
  </si>
  <si>
    <t>千円</t>
    <rPh sb="0" eb="2">
      <t>センエン</t>
    </rPh>
    <phoneticPr fontId="2"/>
  </si>
  <si>
    <t>（交付・不交付）</t>
    <rPh sb="1" eb="3">
      <t>コウフ</t>
    </rPh>
    <rPh sb="4" eb="5">
      <t>フ</t>
    </rPh>
    <rPh sb="5" eb="7">
      <t>コウフ</t>
    </rPh>
    <phoneticPr fontId="2"/>
  </si>
  <si>
    <t>交付</t>
    <rPh sb="0" eb="2">
      <t>コウフ</t>
    </rPh>
    <phoneticPr fontId="2"/>
  </si>
  <si>
    <t>交付</t>
    <rPh sb="0" eb="2">
      <t>コウフ</t>
    </rPh>
    <phoneticPr fontId="85"/>
  </si>
  <si>
    <t>不交付</t>
    <rPh sb="0" eb="3">
      <t>フコウフ</t>
    </rPh>
    <phoneticPr fontId="2"/>
  </si>
  <si>
    <t>交付</t>
  </si>
  <si>
    <t>市税</t>
    <rPh sb="0" eb="1">
      <t>シ</t>
    </rPh>
    <rPh sb="1" eb="2">
      <t>ゼイ</t>
    </rPh>
    <phoneticPr fontId="2"/>
  </si>
  <si>
    <t>地方譲与税</t>
    <rPh sb="0" eb="2">
      <t>チホウ</t>
    </rPh>
    <rPh sb="2" eb="4">
      <t>ジョウヨ</t>
    </rPh>
    <rPh sb="4" eb="5">
      <t>ゼイ</t>
    </rPh>
    <phoneticPr fontId="2"/>
  </si>
  <si>
    <t>利子割交付金</t>
    <rPh sb="0" eb="2">
      <t>リシ</t>
    </rPh>
    <rPh sb="2" eb="3">
      <t>ワリ</t>
    </rPh>
    <rPh sb="3" eb="6">
      <t>コウフキン</t>
    </rPh>
    <phoneticPr fontId="2"/>
  </si>
  <si>
    <t>配当割交付金</t>
    <rPh sb="0" eb="2">
      <t>ハイトウ</t>
    </rPh>
    <rPh sb="2" eb="3">
      <t>ワリ</t>
    </rPh>
    <rPh sb="3" eb="6">
      <t>コウフキン</t>
    </rPh>
    <phoneticPr fontId="2"/>
  </si>
  <si>
    <t>株式等譲渡
所得割交付金</t>
    <rPh sb="0" eb="3">
      <t>カブシキナド</t>
    </rPh>
    <rPh sb="3" eb="5">
      <t>ジョウト</t>
    </rPh>
    <rPh sb="6" eb="8">
      <t>ショトク</t>
    </rPh>
    <rPh sb="8" eb="9">
      <t>ワリ</t>
    </rPh>
    <rPh sb="9" eb="12">
      <t>コウフキン</t>
    </rPh>
    <phoneticPr fontId="2"/>
  </si>
  <si>
    <t>地方消費税交付金</t>
    <rPh sb="0" eb="2">
      <t>チホウ</t>
    </rPh>
    <rPh sb="2" eb="5">
      <t>ショウヒゼイ</t>
    </rPh>
    <rPh sb="5" eb="7">
      <t>コウフ</t>
    </rPh>
    <rPh sb="7" eb="8">
      <t>キン</t>
    </rPh>
    <phoneticPr fontId="2"/>
  </si>
  <si>
    <t>ゴルフ場
利用税交付金</t>
    <rPh sb="3" eb="4">
      <t>ジョウ</t>
    </rPh>
    <rPh sb="5" eb="7">
      <t>リヨウ</t>
    </rPh>
    <rPh sb="7" eb="8">
      <t>ゼイ</t>
    </rPh>
    <rPh sb="8" eb="11">
      <t>コウフキン</t>
    </rPh>
    <phoneticPr fontId="2"/>
  </si>
  <si>
    <t>特別地方消費税</t>
    <rPh sb="0" eb="2">
      <t>トクベツ</t>
    </rPh>
    <rPh sb="2" eb="4">
      <t>チホウ</t>
    </rPh>
    <rPh sb="4" eb="7">
      <t>ショウヒゼイ</t>
    </rPh>
    <phoneticPr fontId="2"/>
  </si>
  <si>
    <t>自動車取得税交付金</t>
    <rPh sb="0" eb="3">
      <t>ジドウシャ</t>
    </rPh>
    <rPh sb="3" eb="5">
      <t>シュトク</t>
    </rPh>
    <rPh sb="5" eb="6">
      <t>ゼイ</t>
    </rPh>
    <rPh sb="6" eb="9">
      <t>コウフキン</t>
    </rPh>
    <phoneticPr fontId="2"/>
  </si>
  <si>
    <t>自動車税
環境性能割交付金</t>
    <phoneticPr fontId="2"/>
  </si>
  <si>
    <t>法人事業税交付金</t>
    <rPh sb="0" eb="2">
      <t>ホウジン</t>
    </rPh>
    <rPh sb="2" eb="5">
      <t>ジギョウゼイ</t>
    </rPh>
    <rPh sb="5" eb="8">
      <t>コウフキン</t>
    </rPh>
    <phoneticPr fontId="2"/>
  </si>
  <si>
    <t>地方特例交付金</t>
    <rPh sb="0" eb="2">
      <t>チホウ</t>
    </rPh>
    <rPh sb="2" eb="4">
      <t>トクレイ</t>
    </rPh>
    <rPh sb="4" eb="7">
      <t>コウフキン</t>
    </rPh>
    <phoneticPr fontId="2"/>
  </si>
  <si>
    <t>地方交付税</t>
    <rPh sb="0" eb="2">
      <t>チホウ</t>
    </rPh>
    <rPh sb="2" eb="5">
      <t>コウフゼイ</t>
    </rPh>
    <phoneticPr fontId="2"/>
  </si>
  <si>
    <t>地方交付税内訳</t>
    <rPh sb="0" eb="2">
      <t>チホウ</t>
    </rPh>
    <rPh sb="2" eb="5">
      <t>コウフゼイ</t>
    </rPh>
    <rPh sb="5" eb="7">
      <t>ウチワケ</t>
    </rPh>
    <phoneticPr fontId="2"/>
  </si>
  <si>
    <t>交通安全対策交付金</t>
    <rPh sb="0" eb="2">
      <t>コウツウ</t>
    </rPh>
    <rPh sb="2" eb="4">
      <t>アンゼン</t>
    </rPh>
    <rPh sb="4" eb="6">
      <t>タイサク</t>
    </rPh>
    <rPh sb="6" eb="9">
      <t>コウフキン</t>
    </rPh>
    <phoneticPr fontId="2"/>
  </si>
  <si>
    <t>分担金・負担金</t>
    <rPh sb="0" eb="3">
      <t>ブンタンキン</t>
    </rPh>
    <rPh sb="4" eb="7">
      <t>フタンキン</t>
    </rPh>
    <phoneticPr fontId="2"/>
  </si>
  <si>
    <t>使用料</t>
    <rPh sb="0" eb="3">
      <t>シヨウリョウ</t>
    </rPh>
    <phoneticPr fontId="2"/>
  </si>
  <si>
    <t>手数料</t>
    <rPh sb="0" eb="3">
      <t>テスウリョウ</t>
    </rPh>
    <phoneticPr fontId="2"/>
  </si>
  <si>
    <t>国庫支出金</t>
    <rPh sb="0" eb="2">
      <t>コッコ</t>
    </rPh>
    <rPh sb="2" eb="5">
      <t>シシュツキン</t>
    </rPh>
    <phoneticPr fontId="2"/>
  </si>
  <si>
    <t>国有提供施設等所在</t>
    <rPh sb="0" eb="2">
      <t>コクユウ</t>
    </rPh>
    <rPh sb="2" eb="4">
      <t>テイキョウ</t>
    </rPh>
    <rPh sb="4" eb="6">
      <t>シセツ</t>
    </rPh>
    <rPh sb="6" eb="7">
      <t>トウ</t>
    </rPh>
    <rPh sb="7" eb="9">
      <t>ショザイ</t>
    </rPh>
    <phoneticPr fontId="2"/>
  </si>
  <si>
    <t>都道府県支出金</t>
    <rPh sb="0" eb="4">
      <t>トドウフケン</t>
    </rPh>
    <rPh sb="4" eb="7">
      <t>シシュツキン</t>
    </rPh>
    <phoneticPr fontId="2"/>
  </si>
  <si>
    <t>財産収入</t>
    <rPh sb="0" eb="2">
      <t>ザイサン</t>
    </rPh>
    <rPh sb="2" eb="4">
      <t>シュウニュウ</t>
    </rPh>
    <phoneticPr fontId="2"/>
  </si>
  <si>
    <t>寄附金</t>
    <rPh sb="0" eb="3">
      <t>キフキン</t>
    </rPh>
    <phoneticPr fontId="2"/>
  </si>
  <si>
    <t>繰入金</t>
    <rPh sb="0" eb="2">
      <t>クリイレ</t>
    </rPh>
    <rPh sb="2" eb="3">
      <t>キン</t>
    </rPh>
    <phoneticPr fontId="2"/>
  </si>
  <si>
    <t>繰越金</t>
    <rPh sb="0" eb="2">
      <t>クリコシ</t>
    </rPh>
    <rPh sb="2" eb="3">
      <t>キン</t>
    </rPh>
    <phoneticPr fontId="2"/>
  </si>
  <si>
    <t>諸収入</t>
    <rPh sb="0" eb="1">
      <t>ショ</t>
    </rPh>
    <rPh sb="1" eb="3">
      <t>シュウニュウ</t>
    </rPh>
    <phoneticPr fontId="2"/>
  </si>
  <si>
    <t>地方債</t>
    <rPh sb="0" eb="3">
      <t>チホウサイ</t>
    </rPh>
    <phoneticPr fontId="2"/>
  </si>
  <si>
    <t>歳入合計</t>
    <rPh sb="0" eb="2">
      <t>サイニュウ</t>
    </rPh>
    <rPh sb="2" eb="4">
      <t>ゴウケイ</t>
    </rPh>
    <phoneticPr fontId="2"/>
  </si>
  <si>
    <t>交付金</t>
    <rPh sb="0" eb="3">
      <t>コウフキン</t>
    </rPh>
    <phoneticPr fontId="2"/>
  </si>
  <si>
    <t>市町村助成交付金</t>
    <rPh sb="0" eb="3">
      <t>シチョウソン</t>
    </rPh>
    <rPh sb="3" eb="5">
      <t>ジョセイ</t>
    </rPh>
    <rPh sb="5" eb="8">
      <t>コウフキン</t>
    </rPh>
    <phoneticPr fontId="2"/>
  </si>
  <si>
    <t>構成比</t>
    <rPh sb="0" eb="2">
      <t>コウセイ</t>
    </rPh>
    <rPh sb="2" eb="3">
      <t>ヒ</t>
    </rPh>
    <phoneticPr fontId="2"/>
  </si>
  <si>
    <t>特別交付税</t>
    <rPh sb="0" eb="2">
      <t>トクベツ</t>
    </rPh>
    <rPh sb="2" eb="5">
      <t>コウフゼイ</t>
    </rPh>
    <phoneticPr fontId="2"/>
  </si>
  <si>
    <t>震災復興
特別交付税</t>
    <rPh sb="0" eb="2">
      <t>シンサイ</t>
    </rPh>
    <rPh sb="2" eb="4">
      <t>フッコウ</t>
    </rPh>
    <rPh sb="5" eb="7">
      <t>トクベツ</t>
    </rPh>
    <rPh sb="7" eb="10">
      <t>コウフゼイ</t>
    </rPh>
    <phoneticPr fontId="2"/>
  </si>
  <si>
    <t>岐阜市</t>
    <phoneticPr fontId="2"/>
  </si>
  <si>
    <t>豊田市</t>
    <phoneticPr fontId="2"/>
  </si>
  <si>
    <t>議会費</t>
    <rPh sb="0" eb="2">
      <t>ギカイ</t>
    </rPh>
    <rPh sb="2" eb="3">
      <t>ヒ</t>
    </rPh>
    <phoneticPr fontId="2"/>
  </si>
  <si>
    <t>総務費</t>
    <rPh sb="0" eb="3">
      <t>ソウムヒ</t>
    </rPh>
    <phoneticPr fontId="2"/>
  </si>
  <si>
    <t>民生費</t>
    <rPh sb="0" eb="2">
      <t>ミンセイ</t>
    </rPh>
    <rPh sb="2" eb="3">
      <t>ヒ</t>
    </rPh>
    <phoneticPr fontId="2"/>
  </si>
  <si>
    <t>衛生費</t>
    <rPh sb="0" eb="3">
      <t>エイセイヒ</t>
    </rPh>
    <phoneticPr fontId="2"/>
  </si>
  <si>
    <t>労働費</t>
    <rPh sb="0" eb="3">
      <t>ロウドウヒ</t>
    </rPh>
    <phoneticPr fontId="2"/>
  </si>
  <si>
    <t>農林水産業費</t>
    <rPh sb="0" eb="2">
      <t>ノウリン</t>
    </rPh>
    <rPh sb="2" eb="4">
      <t>スイサン</t>
    </rPh>
    <rPh sb="4" eb="5">
      <t>ギョウ</t>
    </rPh>
    <rPh sb="5" eb="6">
      <t>ヒ</t>
    </rPh>
    <phoneticPr fontId="2"/>
  </si>
  <si>
    <t>商工費</t>
    <rPh sb="0" eb="2">
      <t>ショウコウ</t>
    </rPh>
    <rPh sb="2" eb="3">
      <t>ヒ</t>
    </rPh>
    <phoneticPr fontId="2"/>
  </si>
  <si>
    <t>土木費</t>
    <rPh sb="0" eb="2">
      <t>ドボク</t>
    </rPh>
    <rPh sb="2" eb="3">
      <t>ヒ</t>
    </rPh>
    <phoneticPr fontId="2"/>
  </si>
  <si>
    <t>消防費</t>
    <rPh sb="0" eb="2">
      <t>ショウボウ</t>
    </rPh>
    <rPh sb="2" eb="3">
      <t>ヒ</t>
    </rPh>
    <phoneticPr fontId="2"/>
  </si>
  <si>
    <t>教育費</t>
    <rPh sb="0" eb="3">
      <t>キョウイクヒ</t>
    </rPh>
    <phoneticPr fontId="2"/>
  </si>
  <si>
    <t>災害復旧費</t>
    <rPh sb="0" eb="2">
      <t>サイガイ</t>
    </rPh>
    <rPh sb="2" eb="4">
      <t>フッキュウ</t>
    </rPh>
    <rPh sb="4" eb="5">
      <t>ヒ</t>
    </rPh>
    <phoneticPr fontId="2"/>
  </si>
  <si>
    <t>公債費</t>
    <rPh sb="0" eb="3">
      <t>コウサイヒ</t>
    </rPh>
    <phoneticPr fontId="2"/>
  </si>
  <si>
    <t>諸支出金</t>
    <rPh sb="0" eb="1">
      <t>ショ</t>
    </rPh>
    <rPh sb="1" eb="4">
      <t>シシュツキン</t>
    </rPh>
    <phoneticPr fontId="2"/>
  </si>
  <si>
    <t>前年度繰上充用金</t>
    <rPh sb="0" eb="3">
      <t>ゼンネンド</t>
    </rPh>
    <rPh sb="3" eb="5">
      <t>クリア</t>
    </rPh>
    <rPh sb="5" eb="7">
      <t>ジュウヨウ</t>
    </rPh>
    <rPh sb="7" eb="8">
      <t>キン</t>
    </rPh>
    <phoneticPr fontId="2"/>
  </si>
  <si>
    <t>歳出合計</t>
    <rPh sb="0" eb="2">
      <t>サイシュツ</t>
    </rPh>
    <rPh sb="2" eb="4">
      <t>ゴウケイ</t>
    </rPh>
    <phoneticPr fontId="2"/>
  </si>
  <si>
    <t>長野市</t>
    <phoneticPr fontId="2"/>
  </si>
  <si>
    <t>市民税</t>
    <rPh sb="0" eb="1">
      <t>シ</t>
    </rPh>
    <rPh sb="1" eb="2">
      <t>ミン</t>
    </rPh>
    <rPh sb="2" eb="3">
      <t>ゼイ</t>
    </rPh>
    <phoneticPr fontId="2"/>
  </si>
  <si>
    <t>固定資産税</t>
    <rPh sb="0" eb="2">
      <t>コテイ</t>
    </rPh>
    <rPh sb="2" eb="5">
      <t>シサンゼイ</t>
    </rPh>
    <phoneticPr fontId="2"/>
  </si>
  <si>
    <t>軽自動車税</t>
    <rPh sb="0" eb="4">
      <t>ケイジドウシャ</t>
    </rPh>
    <rPh sb="4" eb="5">
      <t>ゼイ</t>
    </rPh>
    <phoneticPr fontId="2"/>
  </si>
  <si>
    <t>市たばこ税</t>
    <rPh sb="0" eb="1">
      <t>シ</t>
    </rPh>
    <rPh sb="4" eb="5">
      <t>ゼイ</t>
    </rPh>
    <phoneticPr fontId="2"/>
  </si>
  <si>
    <t>法定外普通税</t>
    <rPh sb="0" eb="2">
      <t>ホウテイ</t>
    </rPh>
    <rPh sb="2" eb="3">
      <t>ガイ</t>
    </rPh>
    <rPh sb="3" eb="5">
      <t>フツウ</t>
    </rPh>
    <rPh sb="5" eb="6">
      <t>ゼイ</t>
    </rPh>
    <phoneticPr fontId="2"/>
  </si>
  <si>
    <t>特別土地保有税</t>
    <rPh sb="0" eb="2">
      <t>トクベツ</t>
    </rPh>
    <rPh sb="2" eb="4">
      <t>トチ</t>
    </rPh>
    <rPh sb="4" eb="7">
      <t>ホユウゼイ</t>
    </rPh>
    <phoneticPr fontId="2"/>
  </si>
  <si>
    <t>旧法による税</t>
    <rPh sb="0" eb="2">
      <t>キュウホウ</t>
    </rPh>
    <rPh sb="5" eb="6">
      <t>ゼイ</t>
    </rPh>
    <phoneticPr fontId="2"/>
  </si>
  <si>
    <t>鉱産税</t>
    <rPh sb="0" eb="1">
      <t>コウ</t>
    </rPh>
    <rPh sb="1" eb="2">
      <t>サン</t>
    </rPh>
    <rPh sb="2" eb="3">
      <t>ゼイ</t>
    </rPh>
    <phoneticPr fontId="2"/>
  </si>
  <si>
    <t>目的税</t>
    <rPh sb="0" eb="1">
      <t>メ</t>
    </rPh>
    <rPh sb="1" eb="2">
      <t>マト</t>
    </rPh>
    <rPh sb="2" eb="3">
      <t>ゼイ</t>
    </rPh>
    <phoneticPr fontId="2"/>
  </si>
  <si>
    <t>市税合計</t>
    <rPh sb="0" eb="1">
      <t>シ</t>
    </rPh>
    <rPh sb="1" eb="2">
      <t>ゼイ</t>
    </rPh>
    <rPh sb="2" eb="3">
      <t>ゴウ</t>
    </rPh>
    <rPh sb="3" eb="4">
      <t>ケイ</t>
    </rPh>
    <phoneticPr fontId="2"/>
  </si>
  <si>
    <t>個人分</t>
    <rPh sb="0" eb="1">
      <t>コ</t>
    </rPh>
    <rPh sb="1" eb="2">
      <t>ジン</t>
    </rPh>
    <rPh sb="2" eb="3">
      <t>ブン</t>
    </rPh>
    <phoneticPr fontId="2"/>
  </si>
  <si>
    <t>法人分</t>
    <rPh sb="0" eb="1">
      <t>ホウ</t>
    </rPh>
    <rPh sb="1" eb="2">
      <t>ジン</t>
    </rPh>
    <rPh sb="2" eb="3">
      <t>ブン</t>
    </rPh>
    <phoneticPr fontId="2"/>
  </si>
  <si>
    <t>種別割</t>
    <phoneticPr fontId="2"/>
  </si>
  <si>
    <t>環境性能割</t>
    <rPh sb="4" eb="5">
      <t>ワリ</t>
    </rPh>
    <phoneticPr fontId="2"/>
  </si>
  <si>
    <t>うち、都市計画税</t>
    <rPh sb="3" eb="5">
      <t>トシ</t>
    </rPh>
    <rPh sb="5" eb="7">
      <t>ケイカク</t>
    </rPh>
    <rPh sb="7" eb="8">
      <t>ゼイ</t>
    </rPh>
    <phoneticPr fontId="2"/>
  </si>
  <si>
    <t>うち、事業所税</t>
    <rPh sb="3" eb="6">
      <t>ジギョウショ</t>
    </rPh>
    <rPh sb="6" eb="7">
      <t>ゼイ</t>
    </rPh>
    <phoneticPr fontId="2"/>
  </si>
  <si>
    <t>一宮市</t>
    <rPh sb="0" eb="3">
      <t>イチノミヤシ</t>
    </rPh>
    <phoneticPr fontId="2"/>
  </si>
  <si>
    <t>市税合計</t>
    <rPh sb="0" eb="2">
      <t>シゼイ</t>
    </rPh>
    <rPh sb="2" eb="4">
      <t>ゴウケイ</t>
    </rPh>
    <phoneticPr fontId="2"/>
  </si>
  <si>
    <t>現年
課税分</t>
    <rPh sb="0" eb="1">
      <t>ゲン</t>
    </rPh>
    <rPh sb="1" eb="2">
      <t>ネン</t>
    </rPh>
    <phoneticPr fontId="2"/>
  </si>
  <si>
    <t>滞納
繰越分</t>
    <rPh sb="0" eb="2">
      <t>タイノウ</t>
    </rPh>
    <phoneticPr fontId="2"/>
  </si>
  <si>
    <t>合計</t>
    <phoneticPr fontId="2"/>
  </si>
  <si>
    <t>合計</t>
  </si>
  <si>
    <t>　１　中核市における市町村合併の変遷</t>
    <rPh sb="3" eb="6">
      <t>チュウカクシ</t>
    </rPh>
    <rPh sb="10" eb="13">
      <t>シチョウソン</t>
    </rPh>
    <rPh sb="13" eb="15">
      <t>ガッペイ</t>
    </rPh>
    <rPh sb="16" eb="18">
      <t>ヘンセン</t>
    </rPh>
    <phoneticPr fontId="2"/>
  </si>
  <si>
    <t>施行年月日</t>
  </si>
  <si>
    <t>市　　名</t>
  </si>
  <si>
    <t>合併構成団体名</t>
    <rPh sb="2" eb="4">
      <t>コウセイ</t>
    </rPh>
    <rPh sb="4" eb="6">
      <t>ダンタイ</t>
    </rPh>
    <phoneticPr fontId="2"/>
  </si>
  <si>
    <t>形態</t>
  </si>
  <si>
    <t>福山市、内海町、新市町</t>
  </si>
  <si>
    <t>編入</t>
  </si>
  <si>
    <t>呉市、下蒲刈町</t>
    <rPh sb="0" eb="2">
      <t>クレシ</t>
    </rPh>
    <rPh sb="3" eb="7">
      <t>シモカマガリチョウ</t>
    </rPh>
    <phoneticPr fontId="2"/>
  </si>
  <si>
    <t>編入</t>
    <phoneticPr fontId="2"/>
  </si>
  <si>
    <t>呉市、川尻町</t>
    <rPh sb="0" eb="2">
      <t>クレシ</t>
    </rPh>
    <rPh sb="3" eb="5">
      <t>カワジリ</t>
    </rPh>
    <rPh sb="5" eb="6">
      <t>マチ</t>
    </rPh>
    <phoneticPr fontId="2"/>
  </si>
  <si>
    <t>鳥取市</t>
    <rPh sb="0" eb="2">
      <t>トットリ</t>
    </rPh>
    <phoneticPr fontId="2"/>
  </si>
  <si>
    <t>鳥取市、国府町、福部村、河原町、用瀬町、佐治村、気高町、鹿野町、青谷町</t>
    <rPh sb="0" eb="3">
      <t>トットリシ</t>
    </rPh>
    <phoneticPr fontId="2"/>
  </si>
  <si>
    <t>鹿児島市、吉田町、桜島町、喜入町、松元町、郡山町</t>
  </si>
  <si>
    <t>函館市、戸井町、恵山町、椴法華村、南茅部町</t>
  </si>
  <si>
    <t>前橋市</t>
    <rPh sb="0" eb="3">
      <t>マエバシシ</t>
    </rPh>
    <phoneticPr fontId="2"/>
  </si>
  <si>
    <t>前橋市、大胡町、宮城村、粕川村</t>
    <rPh sb="0" eb="3">
      <t>マエバシシ</t>
    </rPh>
    <rPh sb="4" eb="5">
      <t>オオ</t>
    </rPh>
    <rPh sb="5" eb="7">
      <t>エビスマチ</t>
    </rPh>
    <rPh sb="8" eb="11">
      <t>ミヤギムラ</t>
    </rPh>
    <rPh sb="12" eb="14">
      <t>カスカワ</t>
    </rPh>
    <rPh sb="14" eb="15">
      <t>ムラ</t>
    </rPh>
    <phoneticPr fontId="2"/>
  </si>
  <si>
    <t>長野市、豊野町、戸隠村、鬼無里村、大岡村</t>
    <rPh sb="17" eb="20">
      <t>オオオカムラ</t>
    </rPh>
    <phoneticPr fontId="2"/>
  </si>
  <si>
    <t>松山市、北条市、中島町</t>
  </si>
  <si>
    <t>高知市、鏡村、土佐山村</t>
  </si>
  <si>
    <t>大分市、野津原町、佐賀関町</t>
  </si>
  <si>
    <t>長崎市、香焼町、伊王島町、高島町、野母崎町、三和町、外海町</t>
  </si>
  <si>
    <t>秋田市、河辺町、雄和町</t>
  </si>
  <si>
    <t>水戸市、内原町</t>
    <rPh sb="0" eb="3">
      <t>ミトシ</t>
    </rPh>
    <phoneticPr fontId="2"/>
  </si>
  <si>
    <t>福山市、沼隈町</t>
  </si>
  <si>
    <t>久留米市、田主丸町、北野町、城島町、三潴町</t>
  </si>
  <si>
    <t>下関市、菊川町、豊田町、豊浦町、豊北町</t>
  </si>
  <si>
    <t>新設</t>
  </si>
  <si>
    <t>呉市、音戸町、倉橋町、蒲刈町、安浦町、豊浜町、豊町</t>
    <phoneticPr fontId="2"/>
  </si>
  <si>
    <t>柏市、沼南町</t>
  </si>
  <si>
    <t>八戸市</t>
    <rPh sb="0" eb="3">
      <t>ハチノヘシ</t>
    </rPh>
    <phoneticPr fontId="2"/>
  </si>
  <si>
    <t>八戸市、南郷村</t>
    <rPh sb="0" eb="3">
      <t>ハチノヘシ</t>
    </rPh>
    <rPh sb="4" eb="6">
      <t>ナンゴウ</t>
    </rPh>
    <rPh sb="6" eb="7">
      <t>ムラ</t>
    </rPh>
    <phoneticPr fontId="2"/>
  </si>
  <si>
    <t>松江市</t>
    <rPh sb="0" eb="2">
      <t>マツエ</t>
    </rPh>
    <rPh sb="2" eb="3">
      <t>シ</t>
    </rPh>
    <phoneticPr fontId="2"/>
  </si>
  <si>
    <t>松江市、鹿島町、島根町、美保関町、八雲村、玉湯町、宍道町、八束町</t>
    <rPh sb="0" eb="3">
      <t>マツエシ</t>
    </rPh>
    <rPh sb="4" eb="7">
      <t>カシマチョウ</t>
    </rPh>
    <rPh sb="8" eb="11">
      <t>シマネチョウ</t>
    </rPh>
    <rPh sb="12" eb="16">
      <t>ミホノセキチョウ</t>
    </rPh>
    <rPh sb="17" eb="20">
      <t>ヤクモムラ</t>
    </rPh>
    <rPh sb="21" eb="24">
      <t>タマユチョウ</t>
    </rPh>
    <rPh sb="25" eb="28">
      <t>シンジチョウ</t>
    </rPh>
    <rPh sb="29" eb="31">
      <t>ヤツカ</t>
    </rPh>
    <rPh sb="31" eb="32">
      <t>チョウ</t>
    </rPh>
    <phoneticPr fontId="2"/>
  </si>
  <si>
    <t>新設</t>
    <phoneticPr fontId="2"/>
  </si>
  <si>
    <t>青森市、浪岡町</t>
  </si>
  <si>
    <t>富山市、大沢野町、大山町、八尾町、婦中町、山田村、細入村</t>
  </si>
  <si>
    <t>四賀村、安曇村、奈川村、梓川村</t>
    <phoneticPr fontId="2"/>
  </si>
  <si>
    <t>一宮市</t>
    <rPh sb="0" eb="2">
      <t>イチノミヤ</t>
    </rPh>
    <rPh sb="2" eb="3">
      <t>シ</t>
    </rPh>
    <phoneticPr fontId="2"/>
  </si>
  <si>
    <t>尾西市、木曽川町</t>
    <rPh sb="4" eb="7">
      <t>キソガワ</t>
    </rPh>
    <rPh sb="7" eb="8">
      <t>マチ</t>
    </rPh>
    <phoneticPr fontId="2"/>
  </si>
  <si>
    <t>豊田市、藤岡町、小原村、足助町、下山村、旭町、稲武町</t>
  </si>
  <si>
    <t>奈良市、月ヶ瀬村、都祁村</t>
  </si>
  <si>
    <t>吉井町、世知原町</t>
    <rPh sb="0" eb="3">
      <t>ヨシイチョウ</t>
    </rPh>
    <rPh sb="4" eb="7">
      <t>セチバル</t>
    </rPh>
    <rPh sb="7" eb="8">
      <t>マチ</t>
    </rPh>
    <phoneticPr fontId="2"/>
  </si>
  <si>
    <t>倉敷市、船穂町、真備町</t>
  </si>
  <si>
    <t>高松市、塩江町</t>
  </si>
  <si>
    <t>岡崎市、額田町</t>
  </si>
  <si>
    <t>岐阜市、柳津町</t>
  </si>
  <si>
    <t>宮崎市、佐土原町、田野町、高岡町</t>
  </si>
  <si>
    <t>長崎市、琴海町</t>
  </si>
  <si>
    <t>高松市、牟礼町、庵治町、香川町、香南町、国分寺町</t>
    <rPh sb="4" eb="7">
      <t>ムレチョウ</t>
    </rPh>
    <phoneticPr fontId="2"/>
  </si>
  <si>
    <t>盛岡市</t>
    <rPh sb="0" eb="3">
      <t>モリオカシ</t>
    </rPh>
    <phoneticPr fontId="2"/>
  </si>
  <si>
    <t>盛岡市、玉山村</t>
    <rPh sb="0" eb="3">
      <t>モリオカシ</t>
    </rPh>
    <rPh sb="4" eb="7">
      <t>タマヤマムラ</t>
    </rPh>
    <phoneticPr fontId="2"/>
  </si>
  <si>
    <t>高崎市</t>
    <rPh sb="0" eb="3">
      <t>タカサキシ</t>
    </rPh>
    <phoneticPr fontId="2"/>
  </si>
  <si>
    <t>高崎市、倉渕村、箕郷町、群馬町、新町</t>
  </si>
  <si>
    <t>福井市、美山町、越廼村、清水町</t>
    <phoneticPr fontId="2"/>
  </si>
  <si>
    <t>甲府市、中道町、上九一色村北部</t>
    <phoneticPr fontId="2"/>
  </si>
  <si>
    <t>福山市</t>
    <rPh sb="0" eb="3">
      <t>フクヤマシ</t>
    </rPh>
    <phoneticPr fontId="2"/>
  </si>
  <si>
    <t>福山市、神辺町</t>
    <rPh sb="0" eb="3">
      <t>フクヤマシ</t>
    </rPh>
    <rPh sb="4" eb="5">
      <t>カミ</t>
    </rPh>
    <rPh sb="5" eb="6">
      <t>ベ</t>
    </rPh>
    <rPh sb="6" eb="7">
      <t>チョウ</t>
    </rPh>
    <phoneticPr fontId="2"/>
  </si>
  <si>
    <t>大津市、志賀町</t>
  </si>
  <si>
    <t>姫路市</t>
    <rPh sb="0" eb="3">
      <t>ヒメジシ</t>
    </rPh>
    <phoneticPr fontId="2"/>
  </si>
  <si>
    <t>姫路市、家島町、夢前町、香寺町、安富町</t>
    <rPh sb="0" eb="3">
      <t>ヒメジシ</t>
    </rPh>
    <rPh sb="12" eb="15">
      <t>コウデラチョウ</t>
    </rPh>
    <rPh sb="16" eb="19">
      <t>ヤスドミチョウ</t>
    </rPh>
    <phoneticPr fontId="2"/>
  </si>
  <si>
    <t>小佐々町、宇久町</t>
    <rPh sb="0" eb="4">
      <t>コサザチョウ</t>
    </rPh>
    <rPh sb="5" eb="8">
      <t>ウクマチ</t>
    </rPh>
    <phoneticPr fontId="2"/>
  </si>
  <si>
    <t>高崎市、榛名町</t>
    <rPh sb="0" eb="3">
      <t>タカサキシ</t>
    </rPh>
    <rPh sb="4" eb="6">
      <t>ハルナ</t>
    </rPh>
    <rPh sb="6" eb="7">
      <t>チョウ</t>
    </rPh>
    <phoneticPr fontId="2"/>
  </si>
  <si>
    <t>宇都宮市</t>
    <rPh sb="0" eb="4">
      <t>ウツノミヤシ</t>
    </rPh>
    <phoneticPr fontId="2"/>
  </si>
  <si>
    <t>宇都宮市、上河内町、河内町</t>
    <rPh sb="0" eb="4">
      <t>ウツノミヤシ</t>
    </rPh>
    <rPh sb="5" eb="6">
      <t>カミ</t>
    </rPh>
    <rPh sb="6" eb="8">
      <t>カワチ</t>
    </rPh>
    <rPh sb="8" eb="9">
      <t>チョウ</t>
    </rPh>
    <rPh sb="10" eb="13">
      <t>カワチチョウ</t>
    </rPh>
    <phoneticPr fontId="2"/>
  </si>
  <si>
    <t>高知市</t>
    <rPh sb="0" eb="3">
      <t>コウチシ</t>
    </rPh>
    <phoneticPr fontId="2"/>
  </si>
  <si>
    <t>高知市、春野町</t>
    <rPh sb="0" eb="3">
      <t>コウチシ</t>
    </rPh>
    <rPh sb="4" eb="7">
      <t>ハルノチョウ</t>
    </rPh>
    <phoneticPr fontId="2"/>
  </si>
  <si>
    <t>福島市、飯野町</t>
    <phoneticPr fontId="2"/>
  </si>
  <si>
    <t>前橋市、富士見村</t>
    <phoneticPr fontId="2"/>
  </si>
  <si>
    <t>高崎市、吉井町</t>
    <phoneticPr fontId="2"/>
  </si>
  <si>
    <t>長野市</t>
    <rPh sb="0" eb="3">
      <t>ナガノシ</t>
    </rPh>
    <phoneticPr fontId="2"/>
  </si>
  <si>
    <t>長野市、信州新町、中条村</t>
    <rPh sb="0" eb="3">
      <t>ナガノシ</t>
    </rPh>
    <rPh sb="4" eb="6">
      <t>シンシュウ</t>
    </rPh>
    <rPh sb="6" eb="8">
      <t>シンマチ</t>
    </rPh>
    <rPh sb="9" eb="12">
      <t>ナカジョウムラ</t>
    </rPh>
    <phoneticPr fontId="2"/>
  </si>
  <si>
    <t>宮崎市</t>
    <rPh sb="0" eb="3">
      <t>ミヤザキシ</t>
    </rPh>
    <phoneticPr fontId="2"/>
  </si>
  <si>
    <t>宮崎市、清武町</t>
    <rPh sb="0" eb="3">
      <t>ミヤザキシ</t>
    </rPh>
    <rPh sb="4" eb="5">
      <t>キヨ</t>
    </rPh>
    <rPh sb="5" eb="6">
      <t>タケ</t>
    </rPh>
    <rPh sb="6" eb="7">
      <t>チョウ</t>
    </rPh>
    <phoneticPr fontId="2"/>
  </si>
  <si>
    <t>波田町</t>
    <rPh sb="0" eb="2">
      <t>ハタ</t>
    </rPh>
    <rPh sb="2" eb="3">
      <t>マチ</t>
    </rPh>
    <phoneticPr fontId="2"/>
  </si>
  <si>
    <t>江迎町、鹿町町</t>
    <rPh sb="0" eb="2">
      <t>エムカエ</t>
    </rPh>
    <rPh sb="2" eb="3">
      <t>マチ</t>
    </rPh>
    <rPh sb="4" eb="6">
      <t>シカマチ</t>
    </rPh>
    <rPh sb="6" eb="7">
      <t>マチ</t>
    </rPh>
    <phoneticPr fontId="2"/>
  </si>
  <si>
    <t>松江市</t>
    <phoneticPr fontId="2"/>
  </si>
  <si>
    <t>松江市、東出雲町</t>
    <phoneticPr fontId="2"/>
  </si>
  <si>
    <t>川口市</t>
    <phoneticPr fontId="2"/>
  </si>
  <si>
    <t>川口市、鳩ケ谷市</t>
    <phoneticPr fontId="2"/>
  </si>
  <si>
    <t>　２　中核市移行の経緯</t>
    <rPh sb="3" eb="6">
      <t>チュウカクシ</t>
    </rPh>
    <rPh sb="6" eb="8">
      <t>イコウ</t>
    </rPh>
    <rPh sb="9" eb="11">
      <t>ケイイ</t>
    </rPh>
    <phoneticPr fontId="2"/>
  </si>
  <si>
    <t>施行年月日</t>
    <rPh sb="0" eb="2">
      <t>セコウ</t>
    </rPh>
    <rPh sb="2" eb="5">
      <t>ネンガッピ</t>
    </rPh>
    <phoneticPr fontId="2"/>
  </si>
  <si>
    <t>中核市数</t>
    <rPh sb="0" eb="3">
      <t>チュウカクシ</t>
    </rPh>
    <rPh sb="3" eb="4">
      <t>スウ</t>
    </rPh>
    <phoneticPr fontId="2"/>
  </si>
  <si>
    <t>備　　　　　考</t>
    <rPh sb="0" eb="1">
      <t>ビ</t>
    </rPh>
    <rPh sb="6" eb="7">
      <t>コウ</t>
    </rPh>
    <phoneticPr fontId="2"/>
  </si>
  <si>
    <t>宇都宮市、新潟市、富山市、金沢市、岐阜市、静岡市、浜松市、堺市、姫路市
岡山市、熊本市、鹿児島市（１２市移行）</t>
    <phoneticPr fontId="2"/>
  </si>
  <si>
    <t>秋田市、郡山市、和歌山市、長崎市、大分市（５市移行）</t>
  </si>
  <si>
    <t>豊田市、福山市、高知市、宮崎市（４市移行）</t>
  </si>
  <si>
    <t>いわき市、長野市、豊橋市、高松市（４市移行）</t>
  </si>
  <si>
    <t>旭川市、松山市（２市移行）</t>
    <rPh sb="0" eb="3">
      <t>アサヒカワシ</t>
    </rPh>
    <rPh sb="4" eb="7">
      <t>マツヤマシ</t>
    </rPh>
    <rPh sb="9" eb="10">
      <t>シ</t>
    </rPh>
    <rPh sb="10" eb="12">
      <t>イコウ</t>
    </rPh>
    <phoneticPr fontId="2"/>
  </si>
  <si>
    <t>横須賀市（１市移行）</t>
  </si>
  <si>
    <t>奈良市、倉敷市（２市移行）</t>
  </si>
  <si>
    <t>川越市、船橋市、相模原市、岡崎市、高槻市（5市移行※静岡市は再指定）</t>
  </si>
  <si>
    <t>東大阪市（1市移行※静岡市は指定都市へ移行　富山市は再指定）　　　　　　　　　　　　　　</t>
    <rPh sb="22" eb="25">
      <t>トヤマシ</t>
    </rPh>
    <rPh sb="26" eb="29">
      <t>サイシテイ</t>
    </rPh>
    <phoneticPr fontId="2"/>
  </si>
  <si>
    <t>函館市、下関市（２市移行）</t>
  </si>
  <si>
    <t>（堺市は指定都市へ移行）</t>
    <rPh sb="1" eb="3">
      <t>サカイシ</t>
    </rPh>
    <rPh sb="4" eb="6">
      <t>シテイ</t>
    </rPh>
    <rPh sb="6" eb="8">
      <t>トシ</t>
    </rPh>
    <rPh sb="9" eb="11">
      <t>イコウ</t>
    </rPh>
    <phoneticPr fontId="2"/>
  </si>
  <si>
    <t>青森市（１市移行）</t>
    <rPh sb="0" eb="3">
      <t>アオモリシ</t>
    </rPh>
    <rPh sb="5" eb="6">
      <t>シ</t>
    </rPh>
    <rPh sb="6" eb="8">
      <t>イコウ</t>
    </rPh>
    <phoneticPr fontId="2"/>
  </si>
  <si>
    <t>(新潟市・浜松市は指定都市へ移行）</t>
    <rPh sb="1" eb="4">
      <t>ニイガタシ</t>
    </rPh>
    <rPh sb="5" eb="8">
      <t>ハママツシ</t>
    </rPh>
    <rPh sb="9" eb="11">
      <t>シテイ</t>
    </rPh>
    <rPh sb="11" eb="13">
      <t>トシ</t>
    </rPh>
    <rPh sb="14" eb="16">
      <t>イコウ</t>
    </rPh>
    <phoneticPr fontId="2"/>
  </si>
  <si>
    <t>盛岡市、柏市、西宮市、久留米市（４市移行）</t>
    <rPh sb="0" eb="3">
      <t>モリオカシ</t>
    </rPh>
    <rPh sb="4" eb="5">
      <t>カシワ</t>
    </rPh>
    <rPh sb="5" eb="6">
      <t>シ</t>
    </rPh>
    <rPh sb="7" eb="10">
      <t>ニシノミヤシ</t>
    </rPh>
    <rPh sb="11" eb="15">
      <t>クルメシ</t>
    </rPh>
    <rPh sb="17" eb="18">
      <t>シ</t>
    </rPh>
    <rPh sb="18" eb="20">
      <t>イコウ</t>
    </rPh>
    <phoneticPr fontId="2"/>
  </si>
  <si>
    <t>前橋市、大津市、尼崎市（３市移行※岡山市は指定都市へ移行）</t>
    <rPh sb="0" eb="3">
      <t>マエバシシ</t>
    </rPh>
    <rPh sb="4" eb="7">
      <t>オオツシ</t>
    </rPh>
    <rPh sb="8" eb="11">
      <t>アマガサキシ</t>
    </rPh>
    <rPh sb="13" eb="16">
      <t>シイコウ</t>
    </rPh>
    <rPh sb="17" eb="20">
      <t>オカヤマシ</t>
    </rPh>
    <rPh sb="21" eb="23">
      <t>シテイ</t>
    </rPh>
    <rPh sb="23" eb="25">
      <t>トシ</t>
    </rPh>
    <rPh sb="26" eb="28">
      <t>イコウ</t>
    </rPh>
    <phoneticPr fontId="2"/>
  </si>
  <si>
    <t>(相模原市は指定都市へ移行)</t>
    <rPh sb="1" eb="5">
      <t>サガミハラシ</t>
    </rPh>
    <rPh sb="6" eb="8">
      <t>シテイ</t>
    </rPh>
    <rPh sb="8" eb="10">
      <t>トシ</t>
    </rPh>
    <rPh sb="11" eb="13">
      <t>イコウ</t>
    </rPh>
    <phoneticPr fontId="2"/>
  </si>
  <si>
    <t>高崎市（１市移行）</t>
    <rPh sb="0" eb="2">
      <t>タカサキ</t>
    </rPh>
    <rPh sb="2" eb="3">
      <t>シ</t>
    </rPh>
    <rPh sb="5" eb="6">
      <t>シ</t>
    </rPh>
    <rPh sb="6" eb="8">
      <t>イコウ</t>
    </rPh>
    <phoneticPr fontId="2"/>
  </si>
  <si>
    <t>豊中市（１市移行※熊本市は指定都市へ移行）</t>
    <rPh sb="0" eb="2">
      <t>トヨナカ</t>
    </rPh>
    <rPh sb="2" eb="3">
      <t>シ</t>
    </rPh>
    <rPh sb="5" eb="6">
      <t>シ</t>
    </rPh>
    <rPh sb="6" eb="8">
      <t>イコウ</t>
    </rPh>
    <rPh sb="9" eb="12">
      <t>クマモトシ</t>
    </rPh>
    <rPh sb="13" eb="15">
      <t>シテイ</t>
    </rPh>
    <rPh sb="15" eb="17">
      <t>トシ</t>
    </rPh>
    <rPh sb="18" eb="20">
      <t>イコウ</t>
    </rPh>
    <phoneticPr fontId="2"/>
  </si>
  <si>
    <t>那覇市（１市移行）</t>
    <rPh sb="0" eb="2">
      <t>ナハ</t>
    </rPh>
    <rPh sb="2" eb="3">
      <t>シ</t>
    </rPh>
    <rPh sb="3" eb="4">
      <t>トヨイチ</t>
    </rPh>
    <rPh sb="5" eb="6">
      <t>シ</t>
    </rPh>
    <rPh sb="6" eb="8">
      <t>イコウ</t>
    </rPh>
    <phoneticPr fontId="2"/>
  </si>
  <si>
    <t>枚方市（１市移行）</t>
    <rPh sb="0" eb="2">
      <t>ヒラカタ</t>
    </rPh>
    <rPh sb="2" eb="3">
      <t>シ</t>
    </rPh>
    <rPh sb="3" eb="4">
      <t>トヨイチ</t>
    </rPh>
    <rPh sb="5" eb="6">
      <t>シ</t>
    </rPh>
    <rPh sb="6" eb="8">
      <t>イコウ</t>
    </rPh>
    <phoneticPr fontId="2"/>
  </si>
  <si>
    <t>越谷市、八王子市（２市移行）</t>
    <rPh sb="0" eb="2">
      <t>コシガヤ</t>
    </rPh>
    <rPh sb="2" eb="3">
      <t>シ</t>
    </rPh>
    <rPh sb="4" eb="8">
      <t>ハチオウジシ</t>
    </rPh>
    <rPh sb="8" eb="9">
      <t>トヨイチ</t>
    </rPh>
    <rPh sb="10" eb="11">
      <t>シ</t>
    </rPh>
    <rPh sb="11" eb="13">
      <t>イコウ</t>
    </rPh>
    <phoneticPr fontId="2"/>
  </si>
  <si>
    <t>呉市、佐世保市（２市移行）</t>
    <rPh sb="0" eb="2">
      <t>クレシ</t>
    </rPh>
    <rPh sb="3" eb="7">
      <t>サセボシ</t>
    </rPh>
    <rPh sb="7" eb="8">
      <t>トヨイチ</t>
    </rPh>
    <rPh sb="9" eb="10">
      <t>シ</t>
    </rPh>
    <rPh sb="10" eb="12">
      <t>イコウ</t>
    </rPh>
    <phoneticPr fontId="2"/>
  </si>
  <si>
    <t>八戸市（１市移行）</t>
    <rPh sb="0" eb="2">
      <t>ハチノヘ</t>
    </rPh>
    <rPh sb="2" eb="3">
      <t>シ</t>
    </rPh>
    <rPh sb="3" eb="4">
      <t>トヨイチ</t>
    </rPh>
    <rPh sb="5" eb="6">
      <t>シ</t>
    </rPh>
    <rPh sb="6" eb="8">
      <t>イコウ</t>
    </rPh>
    <phoneticPr fontId="2"/>
  </si>
  <si>
    <t>福島市、川口市、八尾市、明石市、鳥取市、松江市（６市移行）</t>
    <rPh sb="0" eb="2">
      <t>フクシマ</t>
    </rPh>
    <rPh sb="2" eb="3">
      <t>シ</t>
    </rPh>
    <rPh sb="4" eb="6">
      <t>カワグチ</t>
    </rPh>
    <rPh sb="6" eb="7">
      <t>シ</t>
    </rPh>
    <rPh sb="8" eb="11">
      <t>ヤオシ</t>
    </rPh>
    <rPh sb="12" eb="15">
      <t>アカシシ</t>
    </rPh>
    <rPh sb="16" eb="19">
      <t>トットリシ</t>
    </rPh>
    <rPh sb="20" eb="23">
      <t>マツエシ</t>
    </rPh>
    <rPh sb="23" eb="24">
      <t>トヨイチ</t>
    </rPh>
    <rPh sb="25" eb="26">
      <t>シ</t>
    </rPh>
    <rPh sb="26" eb="28">
      <t>イコウ</t>
    </rPh>
    <phoneticPr fontId="2"/>
  </si>
  <si>
    <t>山形市、福井市、甲府市、寝屋川市（４市移行）</t>
    <rPh sb="0" eb="3">
      <t>ヤマガタシ</t>
    </rPh>
    <rPh sb="4" eb="7">
      <t>フクイシ</t>
    </rPh>
    <rPh sb="8" eb="11">
      <t>コウフシ</t>
    </rPh>
    <rPh sb="12" eb="15">
      <t>ネヤガワ</t>
    </rPh>
    <rPh sb="15" eb="16">
      <t>シ</t>
    </rPh>
    <rPh sb="16" eb="17">
      <t>トヨイチ</t>
    </rPh>
    <rPh sb="18" eb="19">
      <t>シ</t>
    </rPh>
    <rPh sb="19" eb="21">
      <t>イコウ</t>
    </rPh>
    <phoneticPr fontId="2"/>
  </si>
  <si>
    <t>水戸市、吹田市（２市移行）</t>
    <rPh sb="0" eb="2">
      <t>ミト</t>
    </rPh>
    <rPh sb="2" eb="3">
      <t>シ</t>
    </rPh>
    <rPh sb="4" eb="6">
      <t>スイタ</t>
    </rPh>
    <rPh sb="6" eb="7">
      <t>シ</t>
    </rPh>
    <rPh sb="7" eb="8">
      <t>トヨイチ</t>
    </rPh>
    <rPh sb="9" eb="10">
      <t>シ</t>
    </rPh>
    <rPh sb="10" eb="12">
      <t>イコウ</t>
    </rPh>
    <phoneticPr fontId="2"/>
  </si>
  <si>
    <t>松本市、一宮市（２市移行）</t>
    <rPh sb="0" eb="2">
      <t>マツモト</t>
    </rPh>
    <rPh sb="2" eb="3">
      <t>シ</t>
    </rPh>
    <rPh sb="4" eb="6">
      <t>イチノミヤ</t>
    </rPh>
    <rPh sb="6" eb="7">
      <t>シ</t>
    </rPh>
    <rPh sb="7" eb="8">
      <t>トヨイチ</t>
    </rPh>
    <rPh sb="9" eb="10">
      <t>シ</t>
    </rPh>
    <rPh sb="10" eb="12">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</si>
</sst>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0;&quot;△ &quot;#,##0"/>
    <numFmt numFmtId="178" formatCode="#,##0.0;&quot;△ &quot;#,##0.0"/>
    <numFmt numFmtId="179" formatCode="0.0;&quot;△ &quot;0.0"/>
    <numFmt numFmtId="180" formatCode="#,##0.00;&quot;△ &quot;#,##0.00"/>
    <numFmt numFmtId="181" formatCode="#,##0_ "/>
    <numFmt numFmtId="182" formatCode="#,##0_);[Red]\(#,##0\)"/>
    <numFmt numFmtId="183" formatCode="#,##0.0_);[Red]\(#,##0.0\)"/>
    <numFmt numFmtId="184" formatCode="0;&quot;△ &quot;0"/>
    <numFmt numFmtId="185" formatCode="0.0_);[Red]\(0.0\)"/>
    <numFmt numFmtId="186" formatCode="0.000_);[Red]\(0.000\)"/>
    <numFmt numFmtId="187" formatCode="#,##0.0;[Red]\-#,##0.0"/>
    <numFmt numFmtId="188" formatCode="0.0"/>
    <numFmt numFmtId="189" formatCode="[$-411]ggge&quot;年&quot;m&quot;月&quot;d&quot;日&quot;;@"/>
    <numFmt numFmtId="190" formatCode="#,##0.0"/>
    <numFmt numFmtId="191" formatCode="0_);[Red]\(0\)"/>
  </numFmts>
  <fonts count="130">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1"/>
      <name val="ＭＳ Ｐゴシック"/>
      <family val="3"/>
      <charset val="128"/>
    </font>
    <font>
      <sz val="10"/>
      <name val="ＭＳ Ｐゴシック"/>
      <family val="3"/>
      <charset val="128"/>
    </font>
    <font>
      <sz val="11"/>
      <name val="ＭＳ Ｐ明朝"/>
      <family val="1"/>
      <charset val="128"/>
    </font>
    <font>
      <b/>
      <sz val="11"/>
      <name val="ＭＳ Ｐ明朝"/>
      <family val="1"/>
      <charset val="128"/>
    </font>
    <font>
      <b/>
      <sz val="12"/>
      <name val="ＭＳ Ｐ明朝"/>
      <family val="1"/>
      <charset val="128"/>
    </font>
    <font>
      <sz val="12"/>
      <name val="ＭＳ Ｐ明朝"/>
      <family val="1"/>
      <charset val="128"/>
    </font>
    <font>
      <sz val="16"/>
      <name val="ＭＳ Ｐ明朝"/>
      <family val="1"/>
      <charset val="128"/>
    </font>
    <font>
      <sz val="13"/>
      <name val="ＭＳ Ｐ明朝"/>
      <family val="1"/>
      <charset val="128"/>
    </font>
    <font>
      <sz val="10"/>
      <name val="ＭＳ Ｐ明朝"/>
      <family val="1"/>
      <charset val="128"/>
    </font>
    <font>
      <b/>
      <sz val="14"/>
      <name val="ＭＳ Ｐゴシック"/>
      <family val="3"/>
      <charset val="128"/>
    </font>
    <font>
      <sz val="14"/>
      <name val="ＭＳ Ｐゴシック"/>
      <family val="3"/>
      <charset val="128"/>
    </font>
    <font>
      <b/>
      <sz val="12"/>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9"/>
      <name val="ＭＳ ゴシック"/>
      <family val="3"/>
      <charset val="128"/>
    </font>
    <font>
      <sz val="20"/>
      <name val="ＭＳ Ｐゴシック"/>
      <family val="3"/>
      <charset val="128"/>
    </font>
    <font>
      <b/>
      <sz val="24"/>
      <name val="ＭＳ Ｐゴシック"/>
      <family val="3"/>
      <charset val="128"/>
    </font>
    <font>
      <sz val="46"/>
      <name val="HG創英角ｺﾞｼｯｸUB"/>
      <family val="3"/>
      <charset val="128"/>
    </font>
    <font>
      <b/>
      <sz val="12"/>
      <name val="ＭＳ ゴシック"/>
      <family val="3"/>
      <charset val="128"/>
    </font>
    <font>
      <b/>
      <sz val="14"/>
      <name val="ＭＳ Ｐ明朝"/>
      <family val="1"/>
      <charset val="128"/>
    </font>
    <font>
      <sz val="6"/>
      <name val="ＭＳ Ｐ明朝"/>
      <family val="1"/>
      <charset val="128"/>
    </font>
    <font>
      <strike/>
      <sz val="9"/>
      <name val="ＭＳ Ｐ明朝"/>
      <family val="1"/>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4"/>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sz val="11"/>
      <color indexed="8"/>
      <name val="ＭＳ Ｐゴシック"/>
      <family val="3"/>
      <charset val="128"/>
    </font>
    <font>
      <sz val="11"/>
      <color indexed="2"/>
      <name val="ＭＳ Ｐゴシック"/>
      <family val="3"/>
      <charset val="128"/>
    </font>
    <font>
      <sz val="22"/>
      <name val="ＭＳ Ｐゴシック"/>
      <family val="3"/>
      <charset val="128"/>
    </font>
    <font>
      <sz val="18"/>
      <name val="ＭＳ Ｐゴシック"/>
      <family val="3"/>
      <charset val="128"/>
    </font>
    <font>
      <sz val="11"/>
      <color theme="1"/>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sz val="11"/>
      <color theme="0"/>
      <name val="ＭＳ Ｐゴシック"/>
      <family val="3"/>
      <charset val="128"/>
      <scheme val="minor"/>
    </font>
    <font>
      <sz val="11"/>
      <color indexed="9"/>
      <name val="ＭＳ Ｐゴシック"/>
      <family val="3"/>
      <charset val="128"/>
      <scheme val="minor"/>
    </font>
    <font>
      <sz val="18"/>
      <color theme="3"/>
      <name val="ＭＳ Ｐゴシック"/>
      <family val="3"/>
      <charset val="128"/>
      <scheme val="major"/>
    </font>
    <font>
      <sz val="18"/>
      <color theme="3"/>
      <name val="ＭＳ Ｐゴシック"/>
      <family val="3"/>
      <charset val="128"/>
    </font>
    <font>
      <b/>
      <sz val="11"/>
      <color theme="0"/>
      <name val="ＭＳ Ｐゴシック"/>
      <family val="3"/>
      <charset val="128"/>
      <scheme val="minor"/>
    </font>
    <font>
      <b/>
      <sz val="11"/>
      <color indexed="9"/>
      <name val="ＭＳ Ｐゴシック"/>
      <family val="3"/>
      <charset val="128"/>
      <scheme val="minor"/>
    </font>
    <font>
      <sz val="11"/>
      <color rgb="FF9C6500"/>
      <name val="ＭＳ Ｐゴシック"/>
      <family val="3"/>
      <charset val="128"/>
    </font>
    <font>
      <sz val="11"/>
      <color rgb="FF9C5700"/>
      <name val="ＭＳ Ｐゴシック"/>
      <family val="3"/>
      <charset val="128"/>
      <scheme val="minor"/>
    </font>
    <font>
      <sz val="11"/>
      <color rgb="FFFA7D0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font>
    <font>
      <b/>
      <sz val="11"/>
      <color rgb="FFFA7D00"/>
      <name val="ＭＳ Ｐゴシック"/>
      <family val="3"/>
      <charset val="128"/>
      <scheme val="minor"/>
    </font>
    <font>
      <sz val="11"/>
      <color rgb="FFFF0000"/>
      <name val="ＭＳ Ｐゴシック"/>
      <family val="3"/>
      <charset val="128"/>
    </font>
    <font>
      <sz val="11"/>
      <color rgb="FFFF0000"/>
      <name val="ＭＳ Ｐゴシック"/>
      <family val="3"/>
      <charset val="128"/>
      <scheme val="minor"/>
    </font>
    <font>
      <sz val="11"/>
      <color indexed="2"/>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font>
    <font>
      <b/>
      <sz val="11"/>
      <color rgb="FF3F3F3F"/>
      <name val="ＭＳ Ｐゴシック"/>
      <family val="3"/>
      <charset val="128"/>
      <scheme val="minor"/>
    </font>
    <font>
      <i/>
      <sz val="11"/>
      <color rgb="FF7F7F7F"/>
      <name val="ＭＳ Ｐゴシック"/>
      <family val="3"/>
      <charset val="128"/>
    </font>
    <font>
      <i/>
      <sz val="11"/>
      <color rgb="FF7F7F7F"/>
      <name val="ＭＳ Ｐゴシック"/>
      <family val="3"/>
      <charset val="128"/>
      <scheme val="minor"/>
    </font>
    <font>
      <sz val="11"/>
      <color rgb="FF3F3F76"/>
      <name val="ＭＳ Ｐゴシック"/>
      <family val="3"/>
      <charset val="128"/>
    </font>
    <font>
      <sz val="11"/>
      <color rgb="FF3F3F76"/>
      <name val="ＭＳ Ｐゴシック"/>
      <family val="3"/>
      <charset val="128"/>
      <scheme val="minor"/>
    </font>
    <font>
      <sz val="11"/>
      <color rgb="FF006100"/>
      <name val="ＭＳ Ｐゴシック"/>
      <family val="3"/>
      <charset val="128"/>
    </font>
    <font>
      <sz val="11"/>
      <color rgb="FF006100"/>
      <name val="ＭＳ Ｐゴシック"/>
      <family val="3"/>
      <charset val="128"/>
      <scheme val="minor"/>
    </font>
    <font>
      <sz val="9"/>
      <color indexed="81"/>
      <name val="MS P ゴシック"/>
      <family val="3"/>
      <charset val="128"/>
    </font>
    <font>
      <sz val="11"/>
      <color theme="1"/>
      <name val="ＭＳ ゴシック"/>
      <family val="3"/>
      <charset val="128"/>
    </font>
    <font>
      <b/>
      <sz val="11"/>
      <color theme="1"/>
      <name val="ＭＳ 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8"/>
      <color theme="1"/>
      <name val="ＭＳ Ｐ明朝"/>
      <family val="1"/>
      <charset val="128"/>
    </font>
    <font>
      <sz val="10"/>
      <color theme="1"/>
      <name val="ＭＳ Ｐ明朝"/>
      <family val="1"/>
      <charset val="128"/>
    </font>
    <font>
      <sz val="6"/>
      <color theme="1"/>
      <name val="ＭＳ Ｐ明朝"/>
      <family val="1"/>
      <charset val="128"/>
    </font>
    <font>
      <sz val="10"/>
      <color theme="1"/>
      <name val="ＭＳ Ｐゴシック"/>
      <family val="3"/>
      <charset val="128"/>
    </font>
    <font>
      <sz val="9"/>
      <color theme="1"/>
      <name val="ＭＳ Ｐゴシック"/>
      <family val="3"/>
      <charset val="128"/>
    </font>
    <font>
      <sz val="13"/>
      <name val="ＭＳ Ｐ明朝"/>
      <family val="1"/>
    </font>
    <font>
      <sz val="13"/>
      <color theme="1"/>
      <name val="ＭＳ Ｐ明朝"/>
      <family val="1"/>
    </font>
    <font>
      <sz val="6"/>
      <name val="ＭＳ Ｐゴシック"/>
      <family val="3"/>
    </font>
    <font>
      <sz val="13"/>
      <color theme="1"/>
      <name val="ＭＳ Ｐ明朝"/>
      <family val="1"/>
      <charset val="128"/>
    </font>
    <font>
      <sz val="12"/>
      <name val="ＭＳ Ｐ明朝"/>
      <family val="1"/>
    </font>
    <font>
      <sz val="13"/>
      <color theme="1"/>
      <name val="ＭＳ Ｐゴシック"/>
      <family val="3"/>
      <charset val="128"/>
    </font>
    <font>
      <sz val="11"/>
      <color theme="1"/>
      <name val="ＭＳ Ｐゴシック"/>
      <family val="3"/>
    </font>
    <font>
      <b/>
      <sz val="12"/>
      <color theme="1"/>
      <name val="ＭＳ Ｐゴシック"/>
      <family val="3"/>
      <charset val="128"/>
    </font>
    <font>
      <sz val="12"/>
      <color theme="1"/>
      <name val="ＭＳ Ｐゴシック"/>
      <family val="3"/>
      <charset val="128"/>
    </font>
    <font>
      <b/>
      <sz val="16"/>
      <color theme="1"/>
      <name val="ＭＳ Ｐゴシック"/>
      <family val="3"/>
      <charset val="128"/>
    </font>
    <font>
      <b/>
      <sz val="12"/>
      <color theme="1"/>
      <name val="ＭＳ ゴシック"/>
      <family val="3"/>
      <charset val="128"/>
    </font>
    <font>
      <b/>
      <sz val="14"/>
      <color theme="1"/>
      <name val="ＭＳ Ｐゴシック"/>
      <family val="3"/>
      <charset val="128"/>
    </font>
    <font>
      <sz val="14"/>
      <color theme="1"/>
      <name val="ＭＳ Ｐゴシック"/>
      <family val="3"/>
      <charset val="128"/>
    </font>
    <font>
      <sz val="11"/>
      <name val="ＭＳ Ｐゴシック"/>
      <family val="3"/>
    </font>
    <font>
      <sz val="11"/>
      <color indexed="8"/>
      <name val="ＭＳ Ｐゴシック"/>
      <family val="3"/>
    </font>
    <font>
      <sz val="11"/>
      <color indexed="9"/>
      <name val="ＭＳ Ｐゴシック"/>
      <family val="3"/>
    </font>
    <font>
      <sz val="11"/>
      <color rgb="FF9C6500"/>
      <name val="ＭＳ Ｐゴシック"/>
      <family val="3"/>
    </font>
    <font>
      <sz val="11"/>
      <color rgb="FF9C5700"/>
      <name val="ＭＳ Ｐゴシック"/>
      <family val="3"/>
      <scheme val="minor"/>
    </font>
    <font>
      <sz val="11"/>
      <color theme="0"/>
      <name val="ＭＳ Ｐゴシック"/>
      <family val="3"/>
      <scheme val="minor"/>
    </font>
    <font>
      <b/>
      <sz val="18"/>
      <color indexed="62"/>
      <name val="ＭＳ Ｐゴシック"/>
      <family val="3"/>
    </font>
    <font>
      <sz val="18"/>
      <color theme="3"/>
      <name val="ＭＳ Ｐゴシック"/>
      <family val="3"/>
      <scheme val="major"/>
    </font>
    <font>
      <b/>
      <sz val="11"/>
      <color indexed="9"/>
      <name val="ＭＳ Ｐゴシック"/>
      <family val="3"/>
    </font>
    <font>
      <b/>
      <sz val="11"/>
      <color theme="0"/>
      <name val="ＭＳ Ｐゴシック"/>
      <family val="3"/>
      <scheme val="minor"/>
    </font>
    <font>
      <sz val="11"/>
      <color rgb="FFFA7D00"/>
      <name val="ＭＳ Ｐゴシック"/>
      <family val="3"/>
    </font>
    <font>
      <sz val="11"/>
      <color rgb="FF3F3F76"/>
      <name val="ＭＳ Ｐゴシック"/>
      <family val="3"/>
    </font>
    <font>
      <b/>
      <sz val="11"/>
      <color rgb="FF3F3F3F"/>
      <name val="ＭＳ Ｐゴシック"/>
      <family val="3"/>
    </font>
    <font>
      <sz val="11"/>
      <color indexed="14"/>
      <name val="ＭＳ Ｐゴシック"/>
      <family val="3"/>
    </font>
    <font>
      <sz val="11"/>
      <color rgb="FF9C0006"/>
      <name val="ＭＳ Ｐゴシック"/>
      <family val="3"/>
      <scheme val="minor"/>
    </font>
    <font>
      <sz val="11"/>
      <color rgb="FF006100"/>
      <name val="ＭＳ Ｐゴシック"/>
      <family val="3"/>
    </font>
    <font>
      <b/>
      <sz val="15"/>
      <color indexed="62"/>
      <name val="ＭＳ Ｐゴシック"/>
      <family val="3"/>
    </font>
    <font>
      <b/>
      <sz val="15"/>
      <color theme="3"/>
      <name val="ＭＳ Ｐゴシック"/>
      <family val="3"/>
      <scheme val="minor"/>
    </font>
    <font>
      <b/>
      <sz val="13"/>
      <color indexed="62"/>
      <name val="ＭＳ Ｐゴシック"/>
      <family val="3"/>
    </font>
    <font>
      <b/>
      <sz val="13"/>
      <color theme="3"/>
      <name val="ＭＳ Ｐゴシック"/>
      <family val="3"/>
      <scheme val="minor"/>
    </font>
    <font>
      <b/>
      <sz val="11"/>
      <color indexed="62"/>
      <name val="ＭＳ Ｐゴシック"/>
      <family val="3"/>
    </font>
    <font>
      <b/>
      <sz val="11"/>
      <color theme="3"/>
      <name val="ＭＳ Ｐゴシック"/>
      <family val="3"/>
      <scheme val="minor"/>
    </font>
    <font>
      <b/>
      <sz val="11"/>
      <color rgb="FFFA7D00"/>
      <name val="ＭＳ Ｐゴシック"/>
      <family val="3"/>
    </font>
    <font>
      <i/>
      <sz val="11"/>
      <color rgb="FF7F7F7F"/>
      <name val="ＭＳ Ｐゴシック"/>
      <family val="3"/>
    </font>
    <font>
      <sz val="11"/>
      <color indexed="2"/>
      <name val="ＭＳ Ｐゴシック"/>
      <family val="3"/>
    </font>
    <font>
      <sz val="11"/>
      <color rgb="FFFF0000"/>
      <name val="ＭＳ Ｐゴシック"/>
      <family val="3"/>
    </font>
    <font>
      <b/>
      <sz val="11"/>
      <color indexed="8"/>
      <name val="ＭＳ Ｐゴシック"/>
      <family val="3"/>
    </font>
    <font>
      <b/>
      <sz val="11"/>
      <color theme="1"/>
      <name val="ＭＳ Ｐゴシック"/>
      <family val="3"/>
      <scheme val="minor"/>
    </font>
    <font>
      <sz val="12"/>
      <color theme="1"/>
      <name val="ＭＳ Ｐ明朝"/>
      <family val="1"/>
    </font>
    <font>
      <b/>
      <sz val="14"/>
      <color theme="1"/>
      <name val="ＭＳ ゴシック"/>
      <family val="3"/>
      <charset val="128"/>
    </font>
    <font>
      <b/>
      <u/>
      <sz val="11"/>
      <color theme="1"/>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s>
  <fills count="9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19"/>
        <bgColor indexed="64"/>
      </patternFill>
    </fill>
    <fill>
      <patternFill patternType="solid">
        <fgColor indexed="54"/>
        <bgColor indexed="64"/>
      </patternFill>
    </fill>
    <fill>
      <patternFill patternType="solid">
        <fgColor theme="4" tint="0.79998168889431442"/>
        <bgColor indexed="65"/>
      </patternFill>
    </fill>
    <fill>
      <patternFill patternType="solid">
        <fgColor theme="4" tint="0.79992065187536243"/>
        <bgColor indexed="64"/>
      </patternFill>
    </fill>
    <fill>
      <patternFill patternType="solid">
        <fgColor theme="5" tint="0.79998168889431442"/>
        <bgColor indexed="65"/>
      </patternFill>
    </fill>
    <fill>
      <patternFill patternType="solid">
        <fgColor theme="5" tint="0.79992065187536243"/>
        <bgColor indexed="64"/>
      </patternFill>
    </fill>
    <fill>
      <patternFill patternType="solid">
        <fgColor theme="6" tint="0.79998168889431442"/>
        <bgColor indexed="65"/>
      </patternFill>
    </fill>
    <fill>
      <patternFill patternType="solid">
        <fgColor theme="6" tint="0.79992065187536243"/>
        <bgColor indexed="64"/>
      </patternFill>
    </fill>
    <fill>
      <patternFill patternType="solid">
        <fgColor theme="7" tint="0.79998168889431442"/>
        <bgColor indexed="65"/>
      </patternFill>
    </fill>
    <fill>
      <patternFill patternType="solid">
        <fgColor theme="7" tint="0.79992065187536243"/>
        <bgColor indexed="64"/>
      </patternFill>
    </fill>
    <fill>
      <patternFill patternType="solid">
        <fgColor theme="8" tint="0.79998168889431442"/>
        <bgColor indexed="65"/>
      </patternFill>
    </fill>
    <fill>
      <patternFill patternType="solid">
        <fgColor theme="8" tint="0.79985961485641044"/>
        <bgColor indexed="64"/>
      </patternFill>
    </fill>
    <fill>
      <patternFill patternType="solid">
        <fgColor theme="8" tint="0.79992065187536243"/>
        <bgColor indexed="64"/>
      </patternFill>
    </fill>
    <fill>
      <patternFill patternType="solid">
        <fgColor theme="9" tint="0.79998168889431442"/>
        <bgColor indexed="65"/>
      </patternFill>
    </fill>
    <fill>
      <patternFill patternType="solid">
        <fgColor theme="9" tint="0.79985961485641044"/>
        <bgColor indexed="64"/>
      </patternFill>
    </fill>
    <fill>
      <patternFill patternType="solid">
        <fgColor theme="9" tint="0.79992065187536243"/>
        <bgColor indexed="64"/>
      </patternFill>
    </fill>
    <fill>
      <patternFill patternType="solid">
        <fgColor theme="4" tint="0.59999389629810485"/>
        <bgColor indexed="65"/>
      </patternFill>
    </fill>
    <fill>
      <patternFill patternType="solid">
        <fgColor theme="4" tint="0.59993285927915285"/>
        <bgColor indexed="64"/>
      </patternFill>
    </fill>
    <fill>
      <patternFill patternType="solid">
        <fgColor theme="5" tint="0.59999389629810485"/>
        <bgColor indexed="65"/>
      </patternFill>
    </fill>
    <fill>
      <patternFill patternType="solid">
        <fgColor theme="5" tint="0.59984130375072486"/>
        <bgColor indexed="64"/>
      </patternFill>
    </fill>
    <fill>
      <patternFill patternType="solid">
        <fgColor theme="5" tint="0.59978026673177287"/>
        <bgColor indexed="64"/>
      </patternFill>
    </fill>
    <fill>
      <patternFill patternType="solid">
        <fgColor theme="5" tint="0.59974974822229687"/>
        <bgColor indexed="64"/>
      </patternFill>
    </fill>
    <fill>
      <patternFill patternType="solid">
        <fgColor theme="5" tint="0.59993285927915285"/>
        <bgColor indexed="64"/>
      </patternFill>
    </fill>
    <fill>
      <patternFill patternType="solid">
        <fgColor theme="5" tint="0.59987182226020086"/>
        <bgColor indexed="64"/>
      </patternFill>
    </fill>
    <fill>
      <patternFill patternType="solid">
        <fgColor theme="6" tint="0.59999389629810485"/>
        <bgColor indexed="65"/>
      </patternFill>
    </fill>
    <fill>
      <patternFill patternType="solid">
        <fgColor theme="6" tint="0.59993285927915285"/>
        <bgColor indexed="64"/>
      </patternFill>
    </fill>
    <fill>
      <patternFill patternType="solid">
        <fgColor theme="7" tint="0.59999389629810485"/>
        <bgColor indexed="65"/>
      </patternFill>
    </fill>
    <fill>
      <patternFill patternType="solid">
        <fgColor theme="7" tint="0.59993285927915285"/>
        <bgColor indexed="64"/>
      </patternFill>
    </fill>
    <fill>
      <patternFill patternType="solid">
        <fgColor theme="8" tint="0.59999389629810485"/>
        <bgColor indexed="65"/>
      </patternFill>
    </fill>
    <fill>
      <patternFill patternType="solid">
        <fgColor theme="8" tint="0.59984130375072486"/>
        <bgColor indexed="64"/>
      </patternFill>
    </fill>
    <fill>
      <patternFill patternType="solid">
        <fgColor theme="8" tint="0.59978026673177287"/>
        <bgColor indexed="64"/>
      </patternFill>
    </fill>
    <fill>
      <patternFill patternType="solid">
        <fgColor theme="8" tint="0.59974974822229687"/>
        <bgColor indexed="64"/>
      </patternFill>
    </fill>
    <fill>
      <patternFill patternType="solid">
        <fgColor theme="8" tint="0.59993285927915285"/>
        <bgColor indexed="64"/>
      </patternFill>
    </fill>
    <fill>
      <patternFill patternType="solid">
        <fgColor theme="8" tint="0.59987182226020086"/>
        <bgColor indexed="64"/>
      </patternFill>
    </fill>
    <fill>
      <patternFill patternType="solid">
        <fgColor theme="9" tint="0.59999389629810485"/>
        <bgColor indexed="65"/>
      </patternFill>
    </fill>
    <fill>
      <patternFill patternType="solid">
        <fgColor theme="9" tint="0.59993285927915285"/>
        <bgColor indexed="64"/>
      </patternFill>
    </fill>
    <fill>
      <patternFill patternType="solid">
        <fgColor theme="4" tint="0.39997558519241921"/>
        <bgColor indexed="65"/>
      </patternFill>
    </fill>
    <fill>
      <patternFill patternType="solid">
        <fgColor theme="4" tint="0.39997558519241921"/>
        <bgColor indexed="64"/>
      </patternFill>
    </fill>
    <fill>
      <patternFill patternType="solid">
        <fgColor theme="5" tint="0.39997558519241921"/>
        <bgColor indexed="65"/>
      </patternFill>
    </fill>
    <fill>
      <patternFill patternType="solid">
        <fgColor theme="5" tint="0.39997558519241921"/>
        <bgColor indexed="64"/>
      </patternFill>
    </fill>
    <fill>
      <patternFill patternType="solid">
        <fgColor theme="6" tint="0.39997558519241921"/>
        <bgColor indexed="65"/>
      </patternFill>
    </fill>
    <fill>
      <patternFill patternType="solid">
        <fgColor theme="6" tint="0.39997558519241921"/>
        <bgColor indexed="64"/>
      </patternFill>
    </fill>
    <fill>
      <patternFill patternType="solid">
        <fgColor theme="7" tint="0.39997558519241921"/>
        <bgColor indexed="65"/>
      </patternFill>
    </fill>
    <fill>
      <patternFill patternType="solid">
        <fgColor theme="7" tint="0.39997558519241921"/>
        <bgColor indexed="64"/>
      </patternFill>
    </fill>
    <fill>
      <patternFill patternType="solid">
        <fgColor theme="8" tint="0.39997558519241921"/>
        <bgColor indexed="65"/>
      </patternFill>
    </fill>
    <fill>
      <patternFill patternType="solid">
        <fgColor theme="8" tint="0.39997558519241921"/>
        <bgColor indexed="64"/>
      </patternFill>
    </fill>
    <fill>
      <patternFill patternType="solid">
        <fgColor theme="9" tint="0.39997558519241921"/>
        <bgColor indexed="65"/>
      </patternFill>
    </fill>
    <fill>
      <patternFill patternType="solid">
        <fgColor theme="9" tint="0.39997558519241921"/>
        <bgColor indexed="64"/>
      </patternFill>
    </fill>
    <fill>
      <patternFill patternType="solid">
        <fgColor theme="4"/>
      </patternFill>
    </fill>
    <fill>
      <patternFill patternType="solid">
        <fgColor theme="4"/>
        <bgColor indexed="64"/>
      </patternFill>
    </fill>
    <fill>
      <patternFill patternType="solid">
        <fgColor theme="5"/>
      </patternFill>
    </fill>
    <fill>
      <patternFill patternType="solid">
        <fgColor theme="5"/>
        <bgColor indexed="64"/>
      </patternFill>
    </fill>
    <fill>
      <patternFill patternType="solid">
        <fgColor theme="6"/>
      </patternFill>
    </fill>
    <fill>
      <patternFill patternType="solid">
        <fgColor theme="6"/>
        <bgColor indexed="64"/>
      </patternFill>
    </fill>
    <fill>
      <patternFill patternType="solid">
        <fgColor theme="7"/>
      </patternFill>
    </fill>
    <fill>
      <patternFill patternType="solid">
        <fgColor theme="7"/>
        <bgColor indexed="64"/>
      </patternFill>
    </fill>
    <fill>
      <patternFill patternType="solid">
        <fgColor theme="8"/>
      </patternFill>
    </fill>
    <fill>
      <patternFill patternType="solid">
        <fgColor theme="8"/>
        <bgColor indexed="64"/>
      </patternFill>
    </fill>
    <fill>
      <patternFill patternType="solid">
        <fgColor theme="9"/>
      </patternFill>
    </fill>
    <fill>
      <patternFill patternType="solid">
        <fgColor theme="9"/>
        <bgColor indexed="64"/>
      </patternFill>
    </fill>
    <fill>
      <patternFill patternType="solid">
        <fgColor rgb="FFA5A5A5"/>
      </patternFill>
    </fill>
    <fill>
      <patternFill patternType="solid">
        <fgColor rgb="FFA5A5A5"/>
        <bgColor indexed="64"/>
      </patternFill>
    </fill>
    <fill>
      <patternFill patternType="solid">
        <fgColor rgb="FFFFEB9C"/>
      </patternFill>
    </fill>
    <fill>
      <patternFill patternType="solid">
        <fgColor rgb="FFFFEB9C"/>
        <bgColor indexed="64"/>
      </patternFill>
    </fill>
    <fill>
      <patternFill patternType="solid">
        <fgColor rgb="FFFFFFCC"/>
      </patternFill>
    </fill>
    <fill>
      <patternFill patternType="solid">
        <fgColor rgb="FFFFC7CE"/>
      </patternFill>
    </fill>
    <fill>
      <patternFill patternType="solid">
        <fgColor rgb="FFFFC7CE"/>
        <bgColor indexed="64"/>
      </patternFill>
    </fill>
    <fill>
      <patternFill patternType="solid">
        <fgColor rgb="FFF2F2F2"/>
      </patternFill>
    </fill>
    <fill>
      <patternFill patternType="solid">
        <fgColor rgb="FFF2F2F2"/>
        <bgColor indexed="64"/>
      </patternFill>
    </fill>
    <fill>
      <patternFill patternType="solid">
        <fgColor rgb="FFFFCC99"/>
      </patternFill>
    </fill>
    <fill>
      <patternFill patternType="solid">
        <fgColor rgb="FFC6EFCE"/>
      </patternFill>
    </fill>
    <fill>
      <patternFill patternType="solid">
        <fgColor rgb="FFC6EFCE"/>
        <bgColor indexed="64"/>
      </patternFill>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99FF"/>
        <bgColor indexed="64"/>
      </patternFill>
    </fill>
    <fill>
      <patternFill patternType="solid">
        <fgColor rgb="FFC0C0C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s>
  <borders count="167">
    <border>
      <left/>
      <right/>
      <top/>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thin">
        <color indexed="64"/>
      </top>
      <bottom/>
      <diagonal/>
    </border>
    <border>
      <left/>
      <right/>
      <top style="thin">
        <color indexed="64"/>
      </top>
      <bottom/>
      <diagonal/>
    </border>
    <border>
      <left/>
      <right/>
      <top/>
      <bottom style="hair">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double">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top/>
      <bottom/>
      <diagonal/>
    </border>
    <border>
      <left style="hair">
        <color indexed="64"/>
      </left>
      <right style="thin">
        <color indexed="64"/>
      </right>
      <top style="hair">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diagonal/>
    </border>
    <border>
      <left style="hair">
        <color indexed="64"/>
      </left>
      <right style="thin">
        <color indexed="64"/>
      </right>
      <top/>
      <bottom style="hair">
        <color indexed="64"/>
      </bottom>
      <diagonal/>
    </border>
    <border>
      <left/>
      <right style="thin">
        <color indexed="64"/>
      </right>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style="double">
        <color indexed="64"/>
      </left>
      <right style="hair">
        <color indexed="64"/>
      </right>
      <top/>
      <bottom/>
      <diagonal/>
    </border>
    <border>
      <left style="hair">
        <color indexed="64"/>
      </left>
      <right style="double">
        <color indexed="64"/>
      </right>
      <top style="hair">
        <color indexed="64"/>
      </top>
      <bottom style="thin">
        <color indexed="64"/>
      </bottom>
      <diagonal/>
    </border>
    <border>
      <left style="thin">
        <color indexed="64"/>
      </left>
      <right style="hair">
        <color indexed="64"/>
      </right>
      <top style="thin">
        <color indexed="64"/>
      </top>
      <bottom/>
      <diagonal/>
    </border>
    <border>
      <left/>
      <right style="thin">
        <color indexed="64"/>
      </right>
      <top style="hair">
        <color indexed="64"/>
      </top>
      <bottom style="hair">
        <color indexed="64"/>
      </bottom>
      <diagonal/>
    </border>
    <border>
      <left style="hair">
        <color indexed="64"/>
      </left>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top/>
      <bottom style="double">
        <color indexed="64"/>
      </bottom>
      <diagonal/>
    </border>
    <border>
      <left style="thin">
        <color indexed="64"/>
      </left>
      <right style="hair">
        <color indexed="64"/>
      </right>
      <top/>
      <bottom style="double">
        <color indexed="64"/>
      </bottom>
      <diagonal/>
    </border>
    <border>
      <left style="thin">
        <color indexed="64"/>
      </left>
      <right style="thin">
        <color indexed="64"/>
      </right>
      <top/>
      <bottom style="double">
        <color indexed="64"/>
      </bottom>
      <diagonal/>
    </border>
    <border>
      <left/>
      <right style="hair">
        <color indexed="64"/>
      </right>
      <top/>
      <bottom style="double">
        <color indexed="64"/>
      </bottom>
      <diagonal/>
    </border>
    <border>
      <left style="thin">
        <color indexed="64"/>
      </left>
      <right style="hair">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top style="double">
        <color indexed="64"/>
      </top>
      <bottom/>
      <diagonal/>
    </border>
    <border>
      <left style="hair">
        <color indexed="64"/>
      </left>
      <right style="double">
        <color indexed="64"/>
      </right>
      <top/>
      <bottom/>
      <diagonal/>
    </border>
    <border>
      <left style="thin">
        <color indexed="64"/>
      </left>
      <right/>
      <top style="double">
        <color indexed="64"/>
      </top>
      <bottom/>
      <diagonal/>
    </border>
    <border>
      <left style="double">
        <color indexed="64"/>
      </left>
      <right style="hair">
        <color indexed="64"/>
      </right>
      <top/>
      <bottom style="double">
        <color indexed="64"/>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bottom style="double">
        <color indexed="64"/>
      </bottom>
      <diagonal/>
    </border>
    <border>
      <left style="double">
        <color indexed="64"/>
      </left>
      <right/>
      <top style="double">
        <color indexed="64"/>
      </top>
      <bottom/>
      <diagonal/>
    </border>
    <border>
      <left style="double">
        <color indexed="64"/>
      </left>
      <right style="hair">
        <color indexed="64"/>
      </right>
      <top style="double">
        <color indexed="64"/>
      </top>
      <bottom/>
      <diagonal/>
    </border>
    <border>
      <left style="thin">
        <color indexed="64"/>
      </left>
      <right/>
      <top style="hair">
        <color indexed="64"/>
      </top>
      <bottom style="thin">
        <color indexed="64"/>
      </bottom>
      <diagonal/>
    </border>
    <border>
      <left/>
      <right style="thin">
        <color indexed="64"/>
      </right>
      <top style="double">
        <color indexed="64"/>
      </top>
      <bottom/>
      <diagonal/>
    </border>
    <border>
      <left style="hair">
        <color indexed="8"/>
      </left>
      <right style="hair">
        <color indexed="8"/>
      </right>
      <top/>
      <bottom/>
      <diagonal/>
    </border>
    <border>
      <left style="hair">
        <color indexed="8"/>
      </left>
      <right style="hair">
        <color indexed="64"/>
      </right>
      <top/>
      <bottom/>
      <diagonal/>
    </border>
    <border>
      <left style="hair">
        <color indexed="8"/>
      </left>
      <right style="thin">
        <color indexed="64"/>
      </right>
      <top/>
      <bottom/>
      <diagonal/>
    </border>
    <border>
      <left style="thin">
        <color indexed="64"/>
      </left>
      <right style="hair">
        <color indexed="8"/>
      </right>
      <top/>
      <bottom/>
      <diagonal/>
    </border>
    <border>
      <left style="thin">
        <color indexed="8"/>
      </left>
      <right style="hair">
        <color indexed="8"/>
      </right>
      <top/>
      <bottom/>
      <diagonal/>
    </border>
    <border>
      <left style="hair">
        <color indexed="8"/>
      </left>
      <right style="thin">
        <color indexed="8"/>
      </right>
      <top/>
      <bottom/>
      <diagonal/>
    </border>
    <border>
      <left/>
      <right style="hair">
        <color indexed="8"/>
      </right>
      <top/>
      <bottom/>
      <diagonal/>
    </border>
    <border>
      <left style="hair">
        <color indexed="8"/>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style="double">
        <color indexed="64"/>
      </left>
      <right style="thin">
        <color indexed="64"/>
      </right>
      <top/>
      <bottom style="thin">
        <color indexed="64"/>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ashed">
        <color indexed="64"/>
      </top>
      <bottom/>
      <diagonal/>
    </border>
    <border>
      <left style="double">
        <color indexed="64"/>
      </left>
      <right style="thin">
        <color indexed="64"/>
      </right>
      <top/>
      <bottom/>
      <diagonal/>
    </border>
    <border>
      <left style="thin">
        <color indexed="64"/>
      </left>
      <right style="double">
        <color indexed="64"/>
      </right>
      <top style="dashed">
        <color indexed="64"/>
      </top>
      <bottom/>
      <diagonal/>
    </border>
    <border>
      <left style="thin">
        <color indexed="64"/>
      </left>
      <right/>
      <top style="dashed">
        <color indexed="64"/>
      </top>
      <bottom style="thin">
        <color indexed="64"/>
      </bottom>
      <diagonal/>
    </border>
    <border>
      <left style="thin">
        <color indexed="64"/>
      </left>
      <right style="double">
        <color indexed="64"/>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style="thin">
        <color indexed="64"/>
      </left>
      <right/>
      <top style="dashed">
        <color indexed="64"/>
      </top>
      <bottom/>
      <diagonal/>
    </border>
    <border>
      <left style="double">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double">
        <color indexed="64"/>
      </right>
      <top style="thin">
        <color indexed="64"/>
      </top>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8"/>
      </right>
      <top/>
      <bottom/>
      <diagonal/>
    </border>
    <border>
      <left style="thin">
        <color indexed="8"/>
      </left>
      <right style="thin">
        <color indexed="8"/>
      </right>
      <top/>
      <bottom/>
      <diagonal/>
    </border>
    <border>
      <left/>
      <right style="thin">
        <color indexed="64"/>
      </right>
      <top style="thin">
        <color indexed="64"/>
      </top>
      <bottom style="thin">
        <color indexed="64"/>
      </bottom>
      <diagonal/>
    </border>
    <border>
      <left style="hair">
        <color indexed="64"/>
      </left>
      <right style="hair">
        <color indexed="8"/>
      </right>
      <top/>
      <bottom/>
      <diagonal/>
    </border>
    <border>
      <left style="thin">
        <color indexed="64"/>
      </left>
      <right style="double">
        <color indexed="64"/>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thin">
        <color indexed="64"/>
      </top>
      <bottom style="hair">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thick">
        <color theme="4" tint="0.49983214819788202"/>
      </bottom>
      <diagonal/>
    </border>
    <border>
      <left/>
      <right/>
      <top/>
      <bottom style="thick">
        <color theme="4" tint="0.49977111117893003"/>
      </bottom>
      <diagonal/>
    </border>
    <border>
      <left/>
      <right/>
      <top/>
      <bottom style="thick">
        <color theme="4" tint="0.49971007415997803"/>
      </bottom>
      <diagonal/>
    </border>
    <border>
      <left/>
      <right/>
      <top/>
      <bottom style="thick">
        <color theme="4" tint="0.49992370372631001"/>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uble">
        <color indexed="64"/>
      </right>
      <top style="dashed">
        <color indexed="64"/>
      </top>
      <bottom style="dotted">
        <color indexed="64"/>
      </bottom>
      <diagonal/>
    </border>
    <border>
      <left style="double">
        <color indexed="64"/>
      </left>
      <right style="thin">
        <color indexed="64"/>
      </right>
      <top style="dashed">
        <color indexed="64"/>
      </top>
      <bottom style="dotted">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thin">
        <color theme="1"/>
      </left>
      <right style="hair">
        <color indexed="64"/>
      </right>
      <top/>
      <bottom/>
      <diagonal/>
    </border>
    <border>
      <left style="hair">
        <color indexed="64"/>
      </left>
      <right style="thin">
        <color theme="1"/>
      </right>
      <top/>
      <bottom/>
      <diagonal/>
    </border>
    <border>
      <left style="double">
        <color indexed="64"/>
      </left>
      <right style="hair">
        <color indexed="64"/>
      </right>
      <top style="thin">
        <color indexed="64"/>
      </top>
      <bottom/>
      <diagonal/>
    </border>
    <border>
      <left style="double">
        <color indexed="64"/>
      </left>
      <right/>
      <top/>
      <bottom style="thin">
        <color indexed="64"/>
      </bottom>
      <diagonal/>
    </border>
    <border>
      <left style="double">
        <color indexed="64"/>
      </left>
      <right style="hair">
        <color indexed="64"/>
      </right>
      <top/>
      <bottom style="thin">
        <color indexed="64"/>
      </bottom>
      <diagonal/>
    </border>
    <border>
      <left style="hair">
        <color indexed="64"/>
      </left>
      <right/>
      <top/>
      <bottom/>
      <diagonal/>
    </border>
    <border>
      <left style="hair">
        <color indexed="64"/>
      </left>
      <right style="thin">
        <color indexed="64"/>
      </right>
      <top/>
      <bottom/>
      <diagonal/>
    </border>
    <border>
      <left style="hair">
        <color auto="1"/>
      </left>
      <right style="hair">
        <color auto="1"/>
      </right>
      <top/>
      <bottom/>
      <diagonal/>
    </border>
    <border>
      <left style="hair">
        <color indexed="8"/>
      </left>
      <right style="thin">
        <color indexed="64"/>
      </right>
      <top/>
      <bottom/>
      <diagonal/>
    </border>
    <border>
      <left style="hair">
        <color indexed="8"/>
      </left>
      <right style="hair">
        <color indexed="8"/>
      </right>
      <top/>
      <bottom/>
      <diagonal/>
    </border>
    <border>
      <left style="hair">
        <color indexed="8"/>
      </left>
      <right style="thin">
        <color indexed="8"/>
      </right>
      <top/>
      <bottom/>
      <diagonal/>
    </border>
    <border>
      <left style="hair">
        <color indexed="64"/>
      </left>
      <right/>
      <top/>
      <bottom/>
      <diagonal/>
    </border>
    <border>
      <left style="hair">
        <color indexed="64"/>
      </left>
      <right style="thin">
        <color indexed="64"/>
      </right>
      <top/>
      <bottom/>
      <diagonal/>
    </border>
  </borders>
  <cellStyleXfs count="299">
    <xf numFmtId="0" fontId="0" fillId="0" borderId="0">
      <alignment vertical="center"/>
    </xf>
    <xf numFmtId="0" fontId="27" fillId="2"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27" fillId="3"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27" fillId="4"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27" fillId="2"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19" borderId="0" applyNumberFormat="0" applyBorder="0" applyAlignment="0" applyProtection="0">
      <alignment vertical="center"/>
    </xf>
    <xf numFmtId="0" fontId="41" fillId="18" borderId="0" applyNumberFormat="0" applyBorder="0" applyAlignment="0" applyProtection="0">
      <alignment vertical="center"/>
    </xf>
    <xf numFmtId="0" fontId="42" fillId="20"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2" borderId="0" applyNumberFormat="0" applyBorder="0" applyAlignment="0" applyProtection="0">
      <alignment vertical="center"/>
    </xf>
    <xf numFmtId="0" fontId="41" fillId="21" borderId="0" applyNumberFormat="0" applyBorder="0" applyAlignment="0" applyProtection="0">
      <alignment vertical="center"/>
    </xf>
    <xf numFmtId="0" fontId="42" fillId="23" borderId="0" applyNumberFormat="0" applyBorder="0" applyAlignment="0" applyProtection="0">
      <alignment vertical="center"/>
    </xf>
    <xf numFmtId="0" fontId="27" fillId="5"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41" fillId="26" borderId="0" applyNumberFormat="0" applyBorder="0" applyAlignment="0" applyProtection="0">
      <alignment vertical="center"/>
    </xf>
    <xf numFmtId="0" fontId="42" fillId="30" borderId="0" applyNumberFormat="0" applyBorder="0" applyAlignment="0" applyProtection="0">
      <alignment vertical="center"/>
    </xf>
    <xf numFmtId="0" fontId="27" fillId="6"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27" fillId="5" borderId="0" applyNumberFormat="0" applyBorder="0" applyAlignment="0" applyProtection="0">
      <alignment vertical="center"/>
    </xf>
    <xf numFmtId="0" fontId="41" fillId="34" borderId="0" applyNumberFormat="0" applyBorder="0" applyAlignment="0" applyProtection="0">
      <alignment vertical="center"/>
    </xf>
    <xf numFmtId="0" fontId="42" fillId="35" borderId="0" applyNumberFormat="0" applyBorder="0" applyAlignment="0" applyProtection="0">
      <alignment vertical="center"/>
    </xf>
    <xf numFmtId="0" fontId="27" fillId="37" borderId="0" applyNumberFormat="0" applyBorder="0" applyAlignment="0" applyProtection="0">
      <alignment vertical="center"/>
    </xf>
    <xf numFmtId="0" fontId="27" fillId="38" borderId="0" applyNumberFormat="0" applyBorder="0" applyAlignment="0" applyProtection="0">
      <alignment vertical="center"/>
    </xf>
    <xf numFmtId="0" fontId="27" fillId="39" borderId="0" applyNumberFormat="0" applyBorder="0" applyAlignment="0" applyProtection="0">
      <alignment vertical="center"/>
    </xf>
    <xf numFmtId="0" fontId="27" fillId="40" borderId="0" applyNumberFormat="0" applyBorder="0" applyAlignment="0" applyProtection="0">
      <alignment vertical="center"/>
    </xf>
    <xf numFmtId="0" fontId="27" fillId="41" borderId="0" applyNumberFormat="0" applyBorder="0" applyAlignment="0" applyProtection="0">
      <alignment vertical="center"/>
    </xf>
    <xf numFmtId="0" fontId="41" fillId="36" borderId="0" applyNumberFormat="0" applyBorder="0" applyAlignment="0" applyProtection="0">
      <alignment vertical="center"/>
    </xf>
    <xf numFmtId="0" fontId="42" fillId="40" borderId="0" applyNumberFormat="0" applyBorder="0" applyAlignment="0" applyProtection="0">
      <alignment vertical="center"/>
    </xf>
    <xf numFmtId="0" fontId="27" fillId="3" borderId="0" applyNumberFormat="0" applyBorder="0" applyAlignment="0" applyProtection="0">
      <alignment vertical="center"/>
    </xf>
    <xf numFmtId="0" fontId="41" fillId="42" borderId="0" applyNumberFormat="0" applyBorder="0" applyAlignment="0" applyProtection="0">
      <alignment vertical="center"/>
    </xf>
    <xf numFmtId="0" fontId="42" fillId="43" borderId="0" applyNumberFormat="0" applyBorder="0" applyAlignment="0" applyProtection="0">
      <alignment vertical="center"/>
    </xf>
    <xf numFmtId="0" fontId="28" fillId="7" borderId="0" applyNumberFormat="0" applyBorder="0" applyAlignment="0" applyProtection="0">
      <alignment vertical="center"/>
    </xf>
    <xf numFmtId="0" fontId="41" fillId="44" borderId="0" applyNumberFormat="0" applyBorder="0" applyAlignment="0" applyProtection="0">
      <alignment vertical="center"/>
    </xf>
    <xf numFmtId="0" fontId="42" fillId="45" borderId="0" applyNumberFormat="0" applyBorder="0" applyAlignment="0" applyProtection="0">
      <alignment vertical="center"/>
    </xf>
    <xf numFmtId="0" fontId="28" fillId="47" borderId="0" applyNumberFormat="0" applyBorder="0" applyAlignment="0" applyProtection="0">
      <alignment vertical="center"/>
    </xf>
    <xf numFmtId="0" fontId="41" fillId="46" borderId="0" applyNumberFormat="0" applyBorder="0" applyAlignment="0" applyProtection="0">
      <alignment vertical="center"/>
    </xf>
    <xf numFmtId="0" fontId="42" fillId="47" borderId="0" applyNumberFormat="0" applyBorder="0" applyAlignment="0" applyProtection="0">
      <alignment vertical="center"/>
    </xf>
    <xf numFmtId="0" fontId="28" fillId="6" borderId="0" applyNumberFormat="0" applyBorder="0" applyAlignment="0" applyProtection="0">
      <alignment vertical="center"/>
    </xf>
    <xf numFmtId="0" fontId="41" fillId="48" borderId="0" applyNumberFormat="0" applyBorder="0" applyAlignment="0" applyProtection="0">
      <alignment vertical="center"/>
    </xf>
    <xf numFmtId="0" fontId="42" fillId="49" borderId="0" applyNumberFormat="0" applyBorder="0" applyAlignment="0" applyProtection="0">
      <alignment vertical="center"/>
    </xf>
    <xf numFmtId="0" fontId="28" fillId="5" borderId="0" applyNumberFormat="0" applyBorder="0" applyAlignment="0" applyProtection="0">
      <alignment vertical="center"/>
    </xf>
    <xf numFmtId="0" fontId="41" fillId="50" borderId="0" applyNumberFormat="0" applyBorder="0" applyAlignment="0" applyProtection="0">
      <alignment vertical="center"/>
    </xf>
    <xf numFmtId="0" fontId="42" fillId="51" borderId="0" applyNumberFormat="0" applyBorder="0" applyAlignment="0" applyProtection="0">
      <alignment vertical="center"/>
    </xf>
    <xf numFmtId="0" fontId="28" fillId="53" borderId="0" applyNumberFormat="0" applyBorder="0" applyAlignment="0" applyProtection="0">
      <alignment vertical="center"/>
    </xf>
    <xf numFmtId="0" fontId="41" fillId="52" borderId="0" applyNumberFormat="0" applyBorder="0" applyAlignment="0" applyProtection="0">
      <alignment vertical="center"/>
    </xf>
    <xf numFmtId="0" fontId="42" fillId="53" borderId="0" applyNumberFormat="0" applyBorder="0" applyAlignment="0" applyProtection="0">
      <alignment vertical="center"/>
    </xf>
    <xf numFmtId="0" fontId="28" fillId="3" borderId="0" applyNumberFormat="0" applyBorder="0" applyAlignment="0" applyProtection="0">
      <alignment vertical="center"/>
    </xf>
    <xf numFmtId="0" fontId="41" fillId="54" borderId="0" applyNumberFormat="0" applyBorder="0" applyAlignment="0" applyProtection="0">
      <alignment vertical="center"/>
    </xf>
    <xf numFmtId="0" fontId="42" fillId="55" borderId="0" applyNumberFormat="0" applyBorder="0" applyAlignment="0" applyProtection="0">
      <alignment vertical="center"/>
    </xf>
    <xf numFmtId="0" fontId="28" fillId="7" borderId="0" applyNumberFormat="0" applyBorder="0" applyAlignment="0" applyProtection="0">
      <alignment vertical="center"/>
    </xf>
    <xf numFmtId="0" fontId="43" fillId="56" borderId="0" applyNumberFormat="0" applyBorder="0" applyAlignment="0" applyProtection="0">
      <alignment vertical="center"/>
    </xf>
    <xf numFmtId="0" fontId="44" fillId="57" borderId="0" applyNumberFormat="0" applyBorder="0" applyAlignment="0" applyProtection="0">
      <alignment vertical="center"/>
    </xf>
    <xf numFmtId="0" fontId="28" fillId="8" borderId="0" applyNumberFormat="0" applyBorder="0" applyAlignment="0" applyProtection="0">
      <alignment vertical="center"/>
    </xf>
    <xf numFmtId="0" fontId="43" fillId="58" borderId="0" applyNumberFormat="0" applyBorder="0" applyAlignment="0" applyProtection="0">
      <alignment vertical="center"/>
    </xf>
    <xf numFmtId="0" fontId="44" fillId="59" borderId="0" applyNumberFormat="0" applyBorder="0" applyAlignment="0" applyProtection="0">
      <alignment vertical="center"/>
    </xf>
    <xf numFmtId="0" fontId="28" fillId="8" borderId="0" applyNumberFormat="0" applyBorder="0" applyAlignment="0" applyProtection="0">
      <alignment vertical="center"/>
    </xf>
    <xf numFmtId="0" fontId="43" fillId="60" borderId="0" applyNumberFormat="0" applyBorder="0" applyAlignment="0" applyProtection="0">
      <alignment vertical="center"/>
    </xf>
    <xf numFmtId="0" fontId="44" fillId="61" borderId="0" applyNumberFormat="0" applyBorder="0" applyAlignment="0" applyProtection="0">
      <alignment vertical="center"/>
    </xf>
    <xf numFmtId="0" fontId="28" fillId="9" borderId="0" applyNumberFormat="0" applyBorder="0" applyAlignment="0" applyProtection="0">
      <alignment vertical="center"/>
    </xf>
    <xf numFmtId="0" fontId="43" fillId="62" borderId="0" applyNumberFormat="0" applyBorder="0" applyAlignment="0" applyProtection="0">
      <alignment vertical="center"/>
    </xf>
    <xf numFmtId="0" fontId="44" fillId="63" borderId="0" applyNumberFormat="0" applyBorder="0" applyAlignment="0" applyProtection="0">
      <alignment vertical="center"/>
    </xf>
    <xf numFmtId="0" fontId="28" fillId="65" borderId="0" applyNumberFormat="0" applyBorder="0" applyAlignment="0" applyProtection="0">
      <alignment vertical="center"/>
    </xf>
    <xf numFmtId="0" fontId="43" fillId="64" borderId="0" applyNumberFormat="0" applyBorder="0" applyAlignment="0" applyProtection="0">
      <alignment vertical="center"/>
    </xf>
    <xf numFmtId="0" fontId="44" fillId="65" borderId="0" applyNumberFormat="0" applyBorder="0" applyAlignment="0" applyProtection="0">
      <alignment vertical="center"/>
    </xf>
    <xf numFmtId="0" fontId="28" fillId="67" borderId="0" applyNumberFormat="0" applyBorder="0" applyAlignment="0" applyProtection="0">
      <alignment vertical="center"/>
    </xf>
    <xf numFmtId="0" fontId="43" fillId="66" borderId="0" applyNumberFormat="0" applyBorder="0" applyAlignment="0" applyProtection="0">
      <alignment vertical="center"/>
    </xf>
    <xf numFmtId="0" fontId="44" fillId="67"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0" fillId="69" borderId="136" applyNumberFormat="0" applyAlignment="0" applyProtection="0">
      <alignment vertical="center"/>
    </xf>
    <xf numFmtId="0" fontId="47" fillId="68" borderId="136" applyNumberFormat="0" applyAlignment="0" applyProtection="0">
      <alignment vertical="center"/>
    </xf>
    <xf numFmtId="0" fontId="48" fillId="69" borderId="136" applyNumberFormat="0" applyAlignment="0" applyProtection="0">
      <alignment vertical="center"/>
    </xf>
    <xf numFmtId="0" fontId="49" fillId="71" borderId="0" applyNumberFormat="0" applyBorder="0" applyAlignment="0" applyProtection="0">
      <alignment vertical="center"/>
    </xf>
    <xf numFmtId="0" fontId="50" fillId="70" borderId="0" applyNumberFormat="0" applyBorder="0" applyAlignment="0" applyProtection="0">
      <alignment vertical="center"/>
    </xf>
    <xf numFmtId="0" fontId="50" fillId="71" borderId="0" applyNumberFormat="0" applyBorder="0" applyAlignment="0" applyProtection="0">
      <alignment vertical="center"/>
    </xf>
    <xf numFmtId="9" fontId="1" fillId="0" borderId="0" applyFont="0" applyFill="0" applyBorder="0" applyAlignment="0" applyProtection="0">
      <alignment vertical="center"/>
    </xf>
    <xf numFmtId="0" fontId="1" fillId="4" borderId="137" applyNumberFormat="0" applyFont="0" applyAlignment="0" applyProtection="0">
      <alignment vertical="center"/>
    </xf>
    <xf numFmtId="0" fontId="41" fillId="72" borderId="137" applyNumberFormat="0" applyFont="0" applyAlignment="0" applyProtection="0">
      <alignment vertical="center"/>
    </xf>
    <xf numFmtId="0" fontId="42" fillId="4" borderId="137" applyNumberFormat="0" applyAlignment="0" applyProtection="0">
      <alignment vertical="center"/>
    </xf>
    <xf numFmtId="0" fontId="51" fillId="0" borderId="138" applyNumberFormat="0" applyFill="0" applyAlignment="0" applyProtection="0">
      <alignment vertical="center"/>
    </xf>
    <xf numFmtId="0" fontId="52" fillId="0" borderId="138" applyNumberFormat="0" applyFill="0" applyAlignment="0" applyProtection="0">
      <alignment vertical="center"/>
    </xf>
    <xf numFmtId="0" fontId="31" fillId="74" borderId="0" applyNumberFormat="0" applyBorder="0" applyAlignment="0" applyProtection="0">
      <alignment vertical="center"/>
    </xf>
    <xf numFmtId="0" fontId="53" fillId="73" borderId="0" applyNumberFormat="0" applyBorder="0" applyAlignment="0" applyProtection="0">
      <alignment vertical="center"/>
    </xf>
    <xf numFmtId="0" fontId="53" fillId="74" borderId="0" applyNumberFormat="0" applyBorder="0" applyAlignment="0" applyProtection="0">
      <alignment vertical="center"/>
    </xf>
    <xf numFmtId="0" fontId="54" fillId="2" borderId="139" applyNumberFormat="0" applyAlignment="0" applyProtection="0">
      <alignment vertical="center"/>
    </xf>
    <xf numFmtId="0" fontId="55" fillId="75" borderId="139" applyNumberFormat="0" applyAlignment="0" applyProtection="0">
      <alignment vertical="center"/>
    </xf>
    <xf numFmtId="0" fontId="55" fillId="76" borderId="139" applyNumberFormat="0" applyAlignment="0" applyProtection="0">
      <alignment vertical="center"/>
    </xf>
    <xf numFmtId="0" fontId="3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2" fillId="0" borderId="1" applyNumberFormat="0" applyFill="0" applyAlignment="0" applyProtection="0">
      <alignment vertical="center"/>
    </xf>
    <xf numFmtId="0" fontId="59" fillId="0" borderId="140" applyNumberFormat="0" applyFill="0" applyAlignment="0" applyProtection="0">
      <alignment vertical="center"/>
    </xf>
    <xf numFmtId="0" fontId="33" fillId="0" borderId="142" applyNumberFormat="0" applyFill="0" applyAlignment="0" applyProtection="0">
      <alignment vertical="center"/>
    </xf>
    <xf numFmtId="0" fontId="33" fillId="0" borderId="143" applyNumberFormat="0" applyFill="0" applyAlignment="0" applyProtection="0">
      <alignment vertical="center"/>
    </xf>
    <xf numFmtId="0" fontId="33" fillId="0" borderId="144" applyNumberFormat="0" applyFill="0" applyAlignment="0" applyProtection="0">
      <alignment vertical="center"/>
    </xf>
    <xf numFmtId="0" fontId="33" fillId="0" borderId="145" applyNumberFormat="0" applyFill="0" applyAlignment="0" applyProtection="0">
      <alignment vertical="center"/>
    </xf>
    <xf numFmtId="0" fontId="33" fillId="0" borderId="146" applyNumberFormat="0" applyFill="0" applyAlignment="0" applyProtection="0">
      <alignment vertical="center"/>
    </xf>
    <xf numFmtId="0" fontId="60" fillId="0" borderId="141" applyNumberFormat="0" applyFill="0" applyAlignment="0" applyProtection="0">
      <alignment vertical="center"/>
    </xf>
    <xf numFmtId="0" fontId="60" fillId="0" borderId="145" applyNumberFormat="0" applyFill="0" applyAlignment="0" applyProtection="0">
      <alignment vertical="center"/>
    </xf>
    <xf numFmtId="0" fontId="34" fillId="0" borderId="2" applyNumberFormat="0" applyFill="0" applyAlignment="0" applyProtection="0">
      <alignment vertical="center"/>
    </xf>
    <xf numFmtId="0" fontId="61" fillId="0" borderId="147" applyNumberFormat="0" applyFill="0" applyAlignment="0" applyProtection="0">
      <alignment vertical="center"/>
    </xf>
    <xf numFmtId="0" fontId="34"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5" fillId="0" borderId="3" applyNumberFormat="0" applyFill="0" applyAlignment="0" applyProtection="0">
      <alignment vertical="center"/>
    </xf>
    <xf numFmtId="0" fontId="62" fillId="0" borderId="148" applyNumberFormat="0" applyFill="0" applyAlignment="0" applyProtection="0">
      <alignment vertical="center"/>
    </xf>
    <xf numFmtId="0" fontId="63" fillId="0" borderId="148" applyNumberFormat="0" applyFill="0" applyAlignment="0" applyProtection="0">
      <alignment vertical="center"/>
    </xf>
    <xf numFmtId="0" fontId="64" fillId="2" borderId="149" applyNumberFormat="0" applyAlignment="0" applyProtection="0">
      <alignment vertical="center"/>
    </xf>
    <xf numFmtId="0" fontId="65" fillId="75" borderId="149" applyNumberFormat="0" applyAlignment="0" applyProtection="0">
      <alignment vertical="center"/>
    </xf>
    <xf numFmtId="0" fontId="65" fillId="76" borderId="149" applyNumberFormat="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3" borderId="139" applyNumberFormat="0" applyAlignment="0" applyProtection="0">
      <alignment vertical="center"/>
    </xf>
    <xf numFmtId="0" fontId="69" fillId="77" borderId="139" applyNumberFormat="0" applyAlignment="0" applyProtection="0">
      <alignment vertical="center"/>
    </xf>
    <xf numFmtId="0" fontId="69" fillId="3" borderId="139" applyNumberFormat="0" applyAlignment="0" applyProtection="0">
      <alignment vertical="center"/>
    </xf>
    <xf numFmtId="0" fontId="1" fillId="0" borderId="0">
      <alignment vertical="center"/>
    </xf>
    <xf numFmtId="0" fontId="40" fillId="0" borderId="0"/>
    <xf numFmtId="0" fontId="36" fillId="0" borderId="0"/>
    <xf numFmtId="0" fontId="27" fillId="0" borderId="0"/>
    <xf numFmtId="0" fontId="41" fillId="0" borderId="0"/>
    <xf numFmtId="0" fontId="42" fillId="0" borderId="0"/>
    <xf numFmtId="0" fontId="1" fillId="0" borderId="0">
      <alignment vertical="center"/>
    </xf>
    <xf numFmtId="0" fontId="1" fillId="0" borderId="0">
      <alignment vertical="center"/>
    </xf>
    <xf numFmtId="0" fontId="41" fillId="0" borderId="0">
      <alignment vertical="center"/>
    </xf>
    <xf numFmtId="0" fontId="42" fillId="0" borderId="0">
      <alignment vertical="center"/>
    </xf>
    <xf numFmtId="0" fontId="1" fillId="0" borderId="0"/>
    <xf numFmtId="0" fontId="70" fillId="79" borderId="0" applyNumberFormat="0" applyBorder="0" applyAlignment="0" applyProtection="0">
      <alignment vertical="center"/>
    </xf>
    <xf numFmtId="0" fontId="71" fillId="78" borderId="0" applyNumberFormat="0" applyBorder="0" applyAlignment="0" applyProtection="0">
      <alignment vertical="center"/>
    </xf>
    <xf numFmtId="0" fontId="71" fillId="79" borderId="0" applyNumberFormat="0" applyBorder="0" applyAlignment="0" applyProtection="0">
      <alignment vertical="center"/>
    </xf>
    <xf numFmtId="0" fontId="1" fillId="0" borderId="0"/>
    <xf numFmtId="0" fontId="96" fillId="0" borderId="0">
      <alignment vertical="center"/>
    </xf>
    <xf numFmtId="0" fontId="97" fillId="2" borderId="0" applyNumberFormat="0" applyBorder="0" applyAlignment="0" applyProtection="0">
      <alignment vertical="center"/>
    </xf>
    <xf numFmtId="0" fontId="89" fillId="10" borderId="0" applyNumberFormat="0" applyBorder="0" applyAlignment="0" applyProtection="0">
      <alignment vertical="center"/>
    </xf>
    <xf numFmtId="0" fontId="97" fillId="85" borderId="0" applyNumberFormat="0" applyBorder="0" applyAlignment="0" applyProtection="0">
      <alignment vertical="center"/>
    </xf>
    <xf numFmtId="0" fontId="97" fillId="3" borderId="0" applyNumberFormat="0" applyBorder="0" applyAlignment="0" applyProtection="0">
      <alignment vertical="center"/>
    </xf>
    <xf numFmtId="0" fontId="89" fillId="12" borderId="0" applyNumberFormat="0" applyBorder="0" applyAlignment="0" applyProtection="0">
      <alignment vertical="center"/>
    </xf>
    <xf numFmtId="0" fontId="97" fillId="86" borderId="0" applyNumberFormat="0" applyBorder="0" applyAlignment="0" applyProtection="0">
      <alignment vertical="center"/>
    </xf>
    <xf numFmtId="0" fontId="97" fillId="4" borderId="0" applyNumberFormat="0" applyBorder="0" applyAlignment="0" applyProtection="0">
      <alignment vertical="center"/>
    </xf>
    <xf numFmtId="0" fontId="89" fillId="14" borderId="0" applyNumberFormat="0" applyBorder="0" applyAlignment="0" applyProtection="0">
      <alignment vertical="center"/>
    </xf>
    <xf numFmtId="0" fontId="97" fillId="87" borderId="0" applyNumberFormat="0" applyBorder="0" applyAlignment="0" applyProtection="0">
      <alignment vertical="center"/>
    </xf>
    <xf numFmtId="0" fontId="97" fillId="2" borderId="0" applyNumberFormat="0" applyBorder="0" applyAlignment="0" applyProtection="0">
      <alignment vertical="center"/>
    </xf>
    <xf numFmtId="0" fontId="89" fillId="16" borderId="0" applyNumberFormat="0" applyBorder="0" applyAlignment="0" applyProtection="0">
      <alignment vertical="center"/>
    </xf>
    <xf numFmtId="0" fontId="97" fillId="88" borderId="0" applyNumberFormat="0" applyBorder="0" applyAlignment="0" applyProtection="0">
      <alignment vertical="center"/>
    </xf>
    <xf numFmtId="0" fontId="97" fillId="89" borderId="0" applyNumberFormat="0" applyBorder="0" applyAlignment="0" applyProtection="0">
      <alignment vertical="center"/>
    </xf>
    <xf numFmtId="0" fontId="97" fillId="89" borderId="0" applyNumberFormat="0" applyBorder="0" applyAlignment="0" applyProtection="0">
      <alignment vertical="center"/>
    </xf>
    <xf numFmtId="0" fontId="97" fillId="89" borderId="0" applyNumberFormat="0" applyBorder="0" applyAlignment="0" applyProtection="0">
      <alignment vertical="center"/>
    </xf>
    <xf numFmtId="0" fontId="89" fillId="18" borderId="0" applyNumberFormat="0" applyBorder="0" applyAlignment="0" applyProtection="0">
      <alignment vertical="center"/>
    </xf>
    <xf numFmtId="0" fontId="97" fillId="89" borderId="0" applyNumberFormat="0" applyBorder="0" applyAlignment="0" applyProtection="0">
      <alignment vertical="center"/>
    </xf>
    <xf numFmtId="0" fontId="97" fillId="90" borderId="0" applyNumberFormat="0" applyBorder="0" applyAlignment="0" applyProtection="0">
      <alignment vertical="center"/>
    </xf>
    <xf numFmtId="0" fontId="97" fillId="90" borderId="0" applyNumberFormat="0" applyBorder="0" applyAlignment="0" applyProtection="0">
      <alignment vertical="center"/>
    </xf>
    <xf numFmtId="0" fontId="97" fillId="90" borderId="0" applyNumberFormat="0" applyBorder="0" applyAlignment="0" applyProtection="0">
      <alignment vertical="center"/>
    </xf>
    <xf numFmtId="0" fontId="89" fillId="21" borderId="0" applyNumberFormat="0" applyBorder="0" applyAlignment="0" applyProtection="0">
      <alignment vertical="center"/>
    </xf>
    <xf numFmtId="0" fontId="97" fillId="90" borderId="0" applyNumberFormat="0" applyBorder="0" applyAlignment="0" applyProtection="0">
      <alignment vertical="center"/>
    </xf>
    <xf numFmtId="0" fontId="97" fillId="5" borderId="0" applyNumberFormat="0" applyBorder="0" applyAlignment="0" applyProtection="0">
      <alignment vertical="center"/>
    </xf>
    <xf numFmtId="0" fontId="89" fillId="24" borderId="0" applyNumberFormat="0" applyBorder="0" applyAlignment="0" applyProtection="0">
      <alignment vertical="center"/>
    </xf>
    <xf numFmtId="0" fontId="97" fillId="91" borderId="0" applyNumberFormat="0" applyBorder="0" applyAlignment="0" applyProtection="0">
      <alignment vertical="center"/>
    </xf>
    <xf numFmtId="0" fontId="97" fillId="92" borderId="0" applyNumberFormat="0" applyBorder="0" applyAlignment="0" applyProtection="0">
      <alignment vertical="center"/>
    </xf>
    <xf numFmtId="0" fontId="97" fillId="92" borderId="0" applyNumberFormat="0" applyBorder="0" applyAlignment="0" applyProtection="0">
      <alignment vertical="center"/>
    </xf>
    <xf numFmtId="0" fontId="97" fillId="92" borderId="0" applyNumberFormat="0" applyBorder="0" applyAlignment="0" applyProtection="0">
      <alignment vertical="center"/>
    </xf>
    <xf numFmtId="0" fontId="97" fillId="92" borderId="0" applyNumberFormat="0" applyBorder="0" applyAlignment="0" applyProtection="0">
      <alignment vertical="center"/>
    </xf>
    <xf numFmtId="0" fontId="97" fillId="92" borderId="0" applyNumberFormat="0" applyBorder="0" applyAlignment="0" applyProtection="0">
      <alignment vertical="center"/>
    </xf>
    <xf numFmtId="0" fontId="89" fillId="26" borderId="0" applyNumberFormat="0" applyBorder="0" applyAlignment="0" applyProtection="0">
      <alignment vertical="center"/>
    </xf>
    <xf numFmtId="0" fontId="97" fillId="92" borderId="0" applyNumberFormat="0" applyBorder="0" applyAlignment="0" applyProtection="0">
      <alignment vertical="center"/>
    </xf>
    <xf numFmtId="0" fontId="97" fillId="6" borderId="0" applyNumberFormat="0" applyBorder="0" applyAlignment="0" applyProtection="0">
      <alignment vertical="center"/>
    </xf>
    <xf numFmtId="0" fontId="89" fillId="32" borderId="0" applyNumberFormat="0" applyBorder="0" applyAlignment="0" applyProtection="0">
      <alignment vertical="center"/>
    </xf>
    <xf numFmtId="0" fontId="97" fillId="93" borderId="0" applyNumberFormat="0" applyBorder="0" applyAlignment="0" applyProtection="0">
      <alignment vertical="center"/>
    </xf>
    <xf numFmtId="0" fontId="97" fillId="5" borderId="0" applyNumberFormat="0" applyBorder="0" applyAlignment="0" applyProtection="0">
      <alignment vertical="center"/>
    </xf>
    <xf numFmtId="0" fontId="89" fillId="34" borderId="0" applyNumberFormat="0" applyBorder="0" applyAlignment="0" applyProtection="0">
      <alignment vertical="center"/>
    </xf>
    <xf numFmtId="0" fontId="97" fillId="94" borderId="0" applyNumberFormat="0" applyBorder="0" applyAlignment="0" applyProtection="0">
      <alignment vertical="center"/>
    </xf>
    <xf numFmtId="0" fontId="97" fillId="95" borderId="0" applyNumberFormat="0" applyBorder="0" applyAlignment="0" applyProtection="0">
      <alignment vertical="center"/>
    </xf>
    <xf numFmtId="0" fontId="97" fillId="95" borderId="0" applyNumberFormat="0" applyBorder="0" applyAlignment="0" applyProtection="0">
      <alignment vertical="center"/>
    </xf>
    <xf numFmtId="0" fontId="97" fillId="95" borderId="0" applyNumberFormat="0" applyBorder="0" applyAlignment="0" applyProtection="0">
      <alignment vertical="center"/>
    </xf>
    <xf numFmtId="0" fontId="97" fillId="95" borderId="0" applyNumberFormat="0" applyBorder="0" applyAlignment="0" applyProtection="0">
      <alignment vertical="center"/>
    </xf>
    <xf numFmtId="0" fontId="97" fillId="95" borderId="0" applyNumberFormat="0" applyBorder="0" applyAlignment="0" applyProtection="0">
      <alignment vertical="center"/>
    </xf>
    <xf numFmtId="0" fontId="89" fillId="36" borderId="0" applyNumberFormat="0" applyBorder="0" applyAlignment="0" applyProtection="0">
      <alignment vertical="center"/>
    </xf>
    <xf numFmtId="0" fontId="97" fillId="95" borderId="0" applyNumberFormat="0" applyBorder="0" applyAlignment="0" applyProtection="0">
      <alignment vertical="center"/>
    </xf>
    <xf numFmtId="0" fontId="97" fillId="3" borderId="0" applyNumberFormat="0" applyBorder="0" applyAlignment="0" applyProtection="0">
      <alignment vertical="center"/>
    </xf>
    <xf numFmtId="0" fontId="89" fillId="42" borderId="0" applyNumberFormat="0" applyBorder="0" applyAlignment="0" applyProtection="0">
      <alignment vertical="center"/>
    </xf>
    <xf numFmtId="0" fontId="97" fillId="96" borderId="0" applyNumberFormat="0" applyBorder="0" applyAlignment="0" applyProtection="0">
      <alignment vertical="center"/>
    </xf>
    <xf numFmtId="0" fontId="98" fillId="7" borderId="0" applyNumberFormat="0" applyBorder="0" applyAlignment="0" applyProtection="0">
      <alignment vertical="center"/>
    </xf>
    <xf numFmtId="0" fontId="89" fillId="44" borderId="0" applyNumberFormat="0" applyBorder="0" applyAlignment="0" applyProtection="0">
      <alignment vertical="center"/>
    </xf>
    <xf numFmtId="0" fontId="97" fillId="45" borderId="0" applyNumberFormat="0" applyBorder="0" applyAlignment="0" applyProtection="0">
      <alignment vertical="center"/>
    </xf>
    <xf numFmtId="0" fontId="98" fillId="47" borderId="0" applyNumberFormat="0" applyBorder="0" applyAlignment="0" applyProtection="0">
      <alignment vertical="center"/>
    </xf>
    <xf numFmtId="0" fontId="89" fillId="46" borderId="0" applyNumberFormat="0" applyBorder="0" applyAlignment="0" applyProtection="0">
      <alignment vertical="center"/>
    </xf>
    <xf numFmtId="0" fontId="97" fillId="47" borderId="0" applyNumberFormat="0" applyBorder="0" applyAlignment="0" applyProtection="0">
      <alignment vertical="center"/>
    </xf>
    <xf numFmtId="0" fontId="98" fillId="6" borderId="0" applyNumberFormat="0" applyBorder="0" applyAlignment="0" applyProtection="0">
      <alignment vertical="center"/>
    </xf>
    <xf numFmtId="0" fontId="89" fillId="48" borderId="0" applyNumberFormat="0" applyBorder="0" applyAlignment="0" applyProtection="0">
      <alignment vertical="center"/>
    </xf>
    <xf numFmtId="0" fontId="97" fillId="49" borderId="0" applyNumberFormat="0" applyBorder="0" applyAlignment="0" applyProtection="0">
      <alignment vertical="center"/>
    </xf>
    <xf numFmtId="0" fontId="98" fillId="5" borderId="0" applyNumberFormat="0" applyBorder="0" applyAlignment="0" applyProtection="0">
      <alignment vertical="center"/>
    </xf>
    <xf numFmtId="0" fontId="89" fillId="50" borderId="0" applyNumberFormat="0" applyBorder="0" applyAlignment="0" applyProtection="0">
      <alignment vertical="center"/>
    </xf>
    <xf numFmtId="0" fontId="97" fillId="51" borderId="0" applyNumberFormat="0" applyBorder="0" applyAlignment="0" applyProtection="0">
      <alignment vertical="center"/>
    </xf>
    <xf numFmtId="0" fontId="98" fillId="53" borderId="0" applyNumberFormat="0" applyBorder="0" applyAlignment="0" applyProtection="0">
      <alignment vertical="center"/>
    </xf>
    <xf numFmtId="0" fontId="89" fillId="52" borderId="0" applyNumberFormat="0" applyBorder="0" applyAlignment="0" applyProtection="0">
      <alignment vertical="center"/>
    </xf>
    <xf numFmtId="0" fontId="97" fillId="53" borderId="0" applyNumberFormat="0" applyBorder="0" applyAlignment="0" applyProtection="0">
      <alignment vertical="center"/>
    </xf>
    <xf numFmtId="0" fontId="98" fillId="3" borderId="0" applyNumberFormat="0" applyBorder="0" applyAlignment="0" applyProtection="0">
      <alignment vertical="center"/>
    </xf>
    <xf numFmtId="0" fontId="89" fillId="54" borderId="0" applyNumberFormat="0" applyBorder="0" applyAlignment="0" applyProtection="0">
      <alignment vertical="center"/>
    </xf>
    <xf numFmtId="0" fontId="97" fillId="55" borderId="0" applyNumberFormat="0" applyBorder="0" applyAlignment="0" applyProtection="0">
      <alignment vertical="center"/>
    </xf>
    <xf numFmtId="0" fontId="99" fillId="71" borderId="0" applyNumberFormat="0" applyBorder="0" applyAlignment="0" applyProtection="0">
      <alignment vertical="center"/>
    </xf>
    <xf numFmtId="0" fontId="100" fillId="70" borderId="0" applyNumberFormat="0" applyBorder="0" applyAlignment="0" applyProtection="0">
      <alignment vertical="center"/>
    </xf>
    <xf numFmtId="0" fontId="100" fillId="71" borderId="0" applyNumberFormat="0" applyBorder="0" applyAlignment="0" applyProtection="0">
      <alignment vertical="center"/>
    </xf>
    <xf numFmtId="0" fontId="98" fillId="7" borderId="0" applyNumberFormat="0" applyBorder="0" applyAlignment="0" applyProtection="0">
      <alignment vertical="center"/>
    </xf>
    <xf numFmtId="0" fontId="101" fillId="56" borderId="0" applyNumberFormat="0" applyBorder="0" applyAlignment="0" applyProtection="0">
      <alignment vertical="center"/>
    </xf>
    <xf numFmtId="0" fontId="98" fillId="57" borderId="0" applyNumberFormat="0" applyBorder="0" applyAlignment="0" applyProtection="0">
      <alignment vertical="center"/>
    </xf>
    <xf numFmtId="0" fontId="98" fillId="8" borderId="0" applyNumberFormat="0" applyBorder="0" applyAlignment="0" applyProtection="0">
      <alignment vertical="center"/>
    </xf>
    <xf numFmtId="0" fontId="101" fillId="58" borderId="0" applyNumberFormat="0" applyBorder="0" applyAlignment="0" applyProtection="0">
      <alignment vertical="center"/>
    </xf>
    <xf numFmtId="0" fontId="98" fillId="59" borderId="0" applyNumberFormat="0" applyBorder="0" applyAlignment="0" applyProtection="0">
      <alignment vertical="center"/>
    </xf>
    <xf numFmtId="0" fontId="98" fillId="8" borderId="0" applyNumberFormat="0" applyBorder="0" applyAlignment="0" applyProtection="0">
      <alignment vertical="center"/>
    </xf>
    <xf numFmtId="0" fontId="101" fillId="60" borderId="0" applyNumberFormat="0" applyBorder="0" applyAlignment="0" applyProtection="0">
      <alignment vertical="center"/>
    </xf>
    <xf numFmtId="0" fontId="98" fillId="61" borderId="0" applyNumberFormat="0" applyBorder="0" applyAlignment="0" applyProtection="0">
      <alignment vertical="center"/>
    </xf>
    <xf numFmtId="0" fontId="98" fillId="9" borderId="0" applyNumberFormat="0" applyBorder="0" applyAlignment="0" applyProtection="0">
      <alignment vertical="center"/>
    </xf>
    <xf numFmtId="0" fontId="101" fillId="62" borderId="0" applyNumberFormat="0" applyBorder="0" applyAlignment="0" applyProtection="0">
      <alignment vertical="center"/>
    </xf>
    <xf numFmtId="0" fontId="98" fillId="63" borderId="0" applyNumberFormat="0" applyBorder="0" applyAlignment="0" applyProtection="0">
      <alignment vertical="center"/>
    </xf>
    <xf numFmtId="0" fontId="98" fillId="65" borderId="0" applyNumberFormat="0" applyBorder="0" applyAlignment="0" applyProtection="0">
      <alignment vertical="center"/>
    </xf>
    <xf numFmtId="0" fontId="101" fillId="64" borderId="0" applyNumberFormat="0" applyBorder="0" applyAlignment="0" applyProtection="0">
      <alignment vertical="center"/>
    </xf>
    <xf numFmtId="0" fontId="98" fillId="65" borderId="0" applyNumberFormat="0" applyBorder="0" applyAlignment="0" applyProtection="0">
      <alignment vertical="center"/>
    </xf>
    <xf numFmtId="0" fontId="98" fillId="67" borderId="0" applyNumberFormat="0" applyBorder="0" applyAlignment="0" applyProtection="0">
      <alignment vertical="center"/>
    </xf>
    <xf numFmtId="0" fontId="101" fillId="66" borderId="0" applyNumberFormat="0" applyBorder="0" applyAlignment="0" applyProtection="0">
      <alignment vertical="center"/>
    </xf>
    <xf numFmtId="0" fontId="98" fillId="67" borderId="0" applyNumberFormat="0" applyBorder="0" applyAlignment="0" applyProtection="0">
      <alignment vertical="center"/>
    </xf>
    <xf numFmtId="0" fontId="102"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4" fillId="69" borderId="136" applyNumberFormat="0" applyAlignment="0" applyProtection="0">
      <alignment vertical="center"/>
    </xf>
    <xf numFmtId="0" fontId="105" fillId="68" borderId="136" applyNumberFormat="0" applyAlignment="0" applyProtection="0">
      <alignment vertical="center"/>
    </xf>
    <xf numFmtId="0" fontId="104" fillId="69" borderId="136" applyNumberFormat="0" applyAlignment="0" applyProtection="0">
      <alignment vertical="center"/>
    </xf>
    <xf numFmtId="0" fontId="96" fillId="4" borderId="137" applyNumberFormat="0" applyFont="0" applyAlignment="0" applyProtection="0">
      <alignment vertical="center"/>
    </xf>
    <xf numFmtId="0" fontId="89" fillId="72" borderId="137" applyNumberFormat="0" applyFont="0" applyAlignment="0" applyProtection="0">
      <alignment vertical="center"/>
    </xf>
    <xf numFmtId="0" fontId="97" fillId="4" borderId="137" applyNumberFormat="0" applyAlignment="0" applyProtection="0">
      <alignment vertical="center"/>
    </xf>
    <xf numFmtId="0" fontId="106" fillId="0" borderId="138" applyNumberFormat="0" applyFill="0" applyAlignment="0" applyProtection="0">
      <alignment vertical="center"/>
    </xf>
    <xf numFmtId="0" fontId="106" fillId="0" borderId="138" applyNumberFormat="0" applyFill="0" applyAlignment="0" applyProtection="0">
      <alignment vertical="center"/>
    </xf>
    <xf numFmtId="0" fontId="107" fillId="3" borderId="139" applyNumberFormat="0" applyAlignment="0" applyProtection="0">
      <alignment vertical="center"/>
    </xf>
    <xf numFmtId="0" fontId="107" fillId="77" borderId="139" applyNumberFormat="0" applyAlignment="0" applyProtection="0">
      <alignment vertical="center"/>
    </xf>
    <xf numFmtId="0" fontId="107" fillId="3" borderId="139" applyNumberFormat="0" applyAlignment="0" applyProtection="0">
      <alignment vertical="center"/>
    </xf>
    <xf numFmtId="0" fontId="108" fillId="2" borderId="149" applyNumberFormat="0" applyAlignment="0" applyProtection="0">
      <alignment vertical="center"/>
    </xf>
    <xf numFmtId="0" fontId="108" fillId="75" borderId="149" applyNumberFormat="0" applyAlignment="0" applyProtection="0">
      <alignment vertical="center"/>
    </xf>
    <xf numFmtId="0" fontId="108" fillId="76" borderId="149" applyNumberFormat="0" applyAlignment="0" applyProtection="0">
      <alignment vertical="center"/>
    </xf>
    <xf numFmtId="0" fontId="109" fillId="74" borderId="0" applyNumberFormat="0" applyBorder="0" applyAlignment="0" applyProtection="0">
      <alignment vertical="center"/>
    </xf>
    <xf numFmtId="0" fontId="110" fillId="73" borderId="0" applyNumberFormat="0" applyBorder="0" applyAlignment="0" applyProtection="0">
      <alignment vertical="center"/>
    </xf>
    <xf numFmtId="0" fontId="110" fillId="74" borderId="0" applyNumberFormat="0" applyBorder="0" applyAlignment="0" applyProtection="0">
      <alignment vertical="center"/>
    </xf>
    <xf numFmtId="38" fontId="96" fillId="0" borderId="0" applyFont="0" applyFill="0" applyBorder="0" applyAlignment="0" applyProtection="0">
      <alignment vertical="center"/>
    </xf>
    <xf numFmtId="0" fontId="96" fillId="0" borderId="0">
      <alignment vertical="center"/>
    </xf>
    <xf numFmtId="0" fontId="89" fillId="0" borderId="0"/>
    <xf numFmtId="0" fontId="97" fillId="0" borderId="0"/>
    <xf numFmtId="0" fontId="97" fillId="0" borderId="0"/>
    <xf numFmtId="0" fontId="89" fillId="0" borderId="0"/>
    <xf numFmtId="0" fontId="97" fillId="0" borderId="0"/>
    <xf numFmtId="0" fontId="96" fillId="0" borderId="0">
      <alignment vertical="center"/>
    </xf>
    <xf numFmtId="0" fontId="96" fillId="0" borderId="0">
      <alignment vertical="center"/>
    </xf>
    <xf numFmtId="0" fontId="89" fillId="0" borderId="0">
      <alignment vertical="center"/>
    </xf>
    <xf numFmtId="0" fontId="97" fillId="0" borderId="0">
      <alignment vertical="center"/>
    </xf>
    <xf numFmtId="0" fontId="111" fillId="79" borderId="0" applyNumberFormat="0" applyBorder="0" applyAlignment="0" applyProtection="0">
      <alignment vertical="center"/>
    </xf>
    <xf numFmtId="0" fontId="111" fillId="78" borderId="0" applyNumberFormat="0" applyBorder="0" applyAlignment="0" applyProtection="0">
      <alignment vertical="center"/>
    </xf>
    <xf numFmtId="0" fontId="111" fillId="79" borderId="0" applyNumberFormat="0" applyBorder="0" applyAlignment="0" applyProtection="0">
      <alignment vertical="center"/>
    </xf>
    <xf numFmtId="0" fontId="112" fillId="0" borderId="1" applyNumberFormat="0" applyFill="0" applyAlignment="0" applyProtection="0">
      <alignment vertical="center"/>
    </xf>
    <xf numFmtId="0" fontId="113" fillId="0" borderId="140" applyNumberFormat="0" applyFill="0" applyAlignment="0" applyProtection="0">
      <alignment vertical="center"/>
    </xf>
    <xf numFmtId="0" fontId="114" fillId="0" borderId="141" applyNumberFormat="0" applyFill="0" applyAlignment="0" applyProtection="0">
      <alignment vertical="center"/>
    </xf>
    <xf numFmtId="0" fontId="114" fillId="0" borderId="141" applyNumberFormat="0" applyFill="0" applyAlignment="0" applyProtection="0">
      <alignment vertical="center"/>
    </xf>
    <xf numFmtId="0" fontId="114" fillId="0" borderId="141" applyNumberFormat="0" applyFill="0" applyAlignment="0" applyProtection="0">
      <alignment vertical="center"/>
    </xf>
    <xf numFmtId="0" fontId="114" fillId="0" borderId="141" applyNumberFormat="0" applyFill="0" applyAlignment="0" applyProtection="0">
      <alignment vertical="center"/>
    </xf>
    <xf numFmtId="0" fontId="114" fillId="0" borderId="141" applyNumberFormat="0" applyFill="0" applyAlignment="0" applyProtection="0">
      <alignment vertical="center"/>
    </xf>
    <xf numFmtId="0" fontId="115" fillId="0" borderId="141" applyNumberFormat="0" applyFill="0" applyAlignment="0" applyProtection="0">
      <alignment vertical="center"/>
    </xf>
    <xf numFmtId="0" fontId="115" fillId="0" borderId="141" applyNumberFormat="0" applyFill="0" applyAlignment="0" applyProtection="0">
      <alignment vertical="center"/>
    </xf>
    <xf numFmtId="0" fontId="116" fillId="0" borderId="2" applyNumberFormat="0" applyFill="0" applyAlignment="0" applyProtection="0">
      <alignment vertical="center"/>
    </xf>
    <xf numFmtId="0" fontId="117" fillId="0" borderId="147" applyNumberFormat="0" applyFill="0" applyAlignment="0" applyProtection="0">
      <alignment vertical="center"/>
    </xf>
    <xf numFmtId="0" fontId="116"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8" fillId="2" borderId="139" applyNumberFormat="0" applyAlignment="0" applyProtection="0">
      <alignment vertical="center"/>
    </xf>
    <xf numFmtId="0" fontId="118" fillId="75" borderId="139" applyNumberFormat="0" applyAlignment="0" applyProtection="0">
      <alignment vertical="center"/>
    </xf>
    <xf numFmtId="0" fontId="118" fillId="76" borderId="139" applyNumberFormat="0" applyAlignment="0" applyProtection="0">
      <alignment vertical="center"/>
    </xf>
    <xf numFmtId="0" fontId="119"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1"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2" fillId="0" borderId="3" applyNumberFormat="0" applyFill="0" applyAlignment="0" applyProtection="0">
      <alignment vertical="center"/>
    </xf>
    <xf numFmtId="0" fontId="123" fillId="0" borderId="148" applyNumberFormat="0" applyFill="0" applyAlignment="0" applyProtection="0">
      <alignment vertical="center"/>
    </xf>
    <xf numFmtId="0" fontId="122" fillId="0" borderId="148" applyNumberFormat="0" applyFill="0" applyAlignment="0" applyProtection="0">
      <alignment vertical="center"/>
    </xf>
    <xf numFmtId="38" fontId="96" fillId="0" borderId="0" applyFont="0" applyFill="0" applyBorder="0" applyAlignment="0" applyProtection="0">
      <alignment vertical="center"/>
    </xf>
  </cellStyleXfs>
  <cellXfs count="2280">
    <xf numFmtId="0" fontId="0" fillId="0" borderId="0" xfId="0">
      <alignmen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right" vertical="center"/>
    </xf>
    <xf numFmtId="0" fontId="9" fillId="0" borderId="4" xfId="0" applyFont="1" applyBorder="1">
      <alignment vertical="center"/>
    </xf>
    <xf numFmtId="0" fontId="9" fillId="0" borderId="5" xfId="0" applyFont="1" applyBorder="1" applyAlignment="1">
      <alignment horizontal="center" vertical="center" shrinkToFit="1"/>
    </xf>
    <xf numFmtId="0" fontId="9" fillId="0" borderId="6" xfId="0" applyFont="1" applyBorder="1">
      <alignment vertical="center"/>
    </xf>
    <xf numFmtId="0" fontId="9" fillId="0" borderId="11" xfId="0" applyFont="1" applyBorder="1">
      <alignment vertical="center"/>
    </xf>
    <xf numFmtId="0" fontId="9" fillId="0" borderId="13" xfId="0" applyFont="1" applyBorder="1">
      <alignment vertical="center"/>
    </xf>
    <xf numFmtId="0" fontId="9" fillId="0" borderId="15" xfId="0" applyFont="1" applyBorder="1">
      <alignment vertical="center"/>
    </xf>
    <xf numFmtId="0" fontId="13" fillId="0" borderId="16" xfId="0" applyFont="1" applyBorder="1" applyAlignment="1">
      <alignment horizontal="left" vertical="center"/>
    </xf>
    <xf numFmtId="182" fontId="9" fillId="0" borderId="0" xfId="0" applyNumberFormat="1" applyFont="1">
      <alignment vertical="center"/>
    </xf>
    <xf numFmtId="183" fontId="9" fillId="0" borderId="5" xfId="0" applyNumberFormat="1" applyFont="1" applyBorder="1" applyAlignment="1">
      <alignment horizontal="center" vertical="center" shrinkToFit="1"/>
    </xf>
    <xf numFmtId="185" fontId="9" fillId="0" borderId="5" xfId="0" applyNumberFormat="1" applyFont="1" applyBorder="1" applyAlignment="1">
      <alignment horizontal="center" vertical="center" shrinkToFit="1"/>
    </xf>
    <xf numFmtId="182" fontId="9" fillId="0" borderId="5" xfId="0" applyNumberFormat="1" applyFont="1" applyBorder="1" applyAlignment="1">
      <alignment horizontal="center" vertical="center" shrinkToFit="1"/>
    </xf>
    <xf numFmtId="185" fontId="9" fillId="0" borderId="20" xfId="0" applyNumberFormat="1" applyFont="1" applyBorder="1" applyAlignment="1">
      <alignment horizontal="center" vertical="center" shrinkToFit="1"/>
    </xf>
    <xf numFmtId="185" fontId="9" fillId="0" borderId="21" xfId="0" applyNumberFormat="1" applyFont="1" applyBorder="1" applyAlignment="1">
      <alignment horizontal="center" vertical="center" shrinkToFit="1"/>
    </xf>
    <xf numFmtId="0" fontId="9" fillId="0" borderId="22" xfId="0" applyFont="1" applyBorder="1">
      <alignment vertical="center"/>
    </xf>
    <xf numFmtId="0" fontId="9" fillId="0" borderId="24" xfId="0" applyFont="1" applyBorder="1">
      <alignment vertical="center"/>
    </xf>
    <xf numFmtId="0" fontId="9" fillId="0" borderId="25" xfId="0" applyFont="1" applyBorder="1" applyAlignment="1">
      <alignment horizontal="center" shrinkToFit="1"/>
    </xf>
    <xf numFmtId="0" fontId="6" fillId="0" borderId="6" xfId="0" applyFont="1" applyBorder="1" applyAlignment="1">
      <alignment horizontal="center" vertical="top" shrinkToFit="1"/>
    </xf>
    <xf numFmtId="0" fontId="9" fillId="0" borderId="26" xfId="0" applyFont="1" applyBorder="1" applyAlignment="1">
      <alignment horizontal="center" shrinkToFit="1"/>
    </xf>
    <xf numFmtId="0" fontId="6" fillId="0" borderId="5" xfId="0" applyFont="1" applyBorder="1" applyAlignment="1">
      <alignment horizontal="center" vertical="center" shrinkToFit="1"/>
    </xf>
    <xf numFmtId="0" fontId="6" fillId="0" borderId="21" xfId="0" applyFont="1" applyBorder="1" applyAlignment="1">
      <alignment horizontal="center" vertical="center" shrinkToFit="1"/>
    </xf>
    <xf numFmtId="178" fontId="11" fillId="0" borderId="0" xfId="0" applyNumberFormat="1" applyFont="1" applyAlignment="1">
      <alignment horizontal="right" vertical="center"/>
    </xf>
    <xf numFmtId="185" fontId="9" fillId="0" borderId="27" xfId="0" applyNumberFormat="1" applyFont="1" applyBorder="1" applyAlignment="1">
      <alignment horizontal="center" vertical="center" shrinkToFit="1"/>
    </xf>
    <xf numFmtId="0" fontId="16" fillId="0" borderId="0" xfId="0" applyFont="1">
      <alignment vertical="center"/>
    </xf>
    <xf numFmtId="0" fontId="4" fillId="0" borderId="30" xfId="0" applyFont="1" applyBorder="1" applyAlignment="1">
      <alignment horizontal="center" vertical="center"/>
    </xf>
    <xf numFmtId="0" fontId="4" fillId="0" borderId="30" xfId="0" applyFont="1" applyBorder="1" applyAlignment="1">
      <alignment horizontal="center" vertical="center" wrapText="1"/>
    </xf>
    <xf numFmtId="0" fontId="13" fillId="0" borderId="0" xfId="0" applyFont="1" applyAlignment="1">
      <alignment horizontal="left" vertical="center"/>
    </xf>
    <xf numFmtId="0" fontId="9" fillId="0" borderId="31" xfId="0" applyFont="1" applyBorder="1" applyAlignment="1">
      <alignment horizontal="right" vertical="center"/>
    </xf>
    <xf numFmtId="0" fontId="9" fillId="0" borderId="33" xfId="0" applyFont="1" applyBorder="1">
      <alignment vertical="center"/>
    </xf>
    <xf numFmtId="177" fontId="11" fillId="0" borderId="0" xfId="0" applyNumberFormat="1" applyFont="1" applyAlignment="1">
      <alignment horizontal="right" vertical="center"/>
    </xf>
    <xf numFmtId="177" fontId="11" fillId="0" borderId="0" xfId="0" applyNumberFormat="1" applyFont="1" applyAlignment="1" applyProtection="1">
      <alignment horizontal="right" vertical="center"/>
      <protection locked="0"/>
    </xf>
    <xf numFmtId="178" fontId="11" fillId="0" borderId="0" xfId="0" applyNumberFormat="1" applyFont="1" applyAlignment="1" applyProtection="1">
      <alignment horizontal="right" vertical="center"/>
      <protection locked="0"/>
    </xf>
    <xf numFmtId="0" fontId="12" fillId="0" borderId="34" xfId="0" applyFont="1" applyBorder="1" applyAlignment="1">
      <alignment horizontal="right" vertical="center"/>
    </xf>
    <xf numFmtId="0" fontId="12" fillId="0" borderId="35" xfId="0" applyFont="1" applyBorder="1" applyAlignment="1">
      <alignment horizontal="right" vertical="center"/>
    </xf>
    <xf numFmtId="0" fontId="9" fillId="0" borderId="32" xfId="0" applyFont="1" applyBorder="1">
      <alignment vertical="center"/>
    </xf>
    <xf numFmtId="0" fontId="12" fillId="0" borderId="36" xfId="0" applyFont="1" applyBorder="1" applyAlignment="1">
      <alignment horizontal="right" vertical="center"/>
    </xf>
    <xf numFmtId="0" fontId="9" fillId="0" borderId="37" xfId="0" applyFont="1" applyBorder="1">
      <alignment vertical="center"/>
    </xf>
    <xf numFmtId="0" fontId="9" fillId="0" borderId="38" xfId="0" applyFont="1" applyBorder="1">
      <alignment vertical="center"/>
    </xf>
    <xf numFmtId="0" fontId="12" fillId="0" borderId="39" xfId="0" applyFont="1" applyBorder="1" applyAlignment="1">
      <alignment horizontal="right" vertical="center"/>
    </xf>
    <xf numFmtId="178" fontId="11" fillId="2" borderId="0" xfId="0" applyNumberFormat="1" applyFont="1" applyFill="1" applyAlignment="1">
      <alignment horizontal="right" vertical="center"/>
    </xf>
    <xf numFmtId="182" fontId="9" fillId="0" borderId="0" xfId="0" applyNumberFormat="1" applyFont="1" applyAlignment="1">
      <alignment horizontal="right" vertical="center"/>
    </xf>
    <xf numFmtId="0" fontId="18" fillId="0" borderId="0" xfId="0" applyFont="1" applyAlignment="1">
      <alignment vertical="top"/>
    </xf>
    <xf numFmtId="0" fontId="12" fillId="0" borderId="40" xfId="0" applyFont="1" applyBorder="1" applyAlignment="1">
      <alignment horizontal="right" vertical="center"/>
    </xf>
    <xf numFmtId="186" fontId="12" fillId="0" borderId="34" xfId="0" applyNumberFormat="1" applyFont="1" applyBorder="1">
      <alignment vertical="center"/>
    </xf>
    <xf numFmtId="0" fontId="12" fillId="0" borderId="35" xfId="0" applyFont="1" applyBorder="1" applyAlignment="1">
      <alignment horizontal="center" vertical="center"/>
    </xf>
    <xf numFmtId="185" fontId="12" fillId="0" borderId="35" xfId="0" applyNumberFormat="1" applyFont="1" applyBorder="1" applyAlignment="1">
      <alignment horizontal="right" vertical="center"/>
    </xf>
    <xf numFmtId="0" fontId="12" fillId="0" borderId="44" xfId="0" applyFont="1" applyBorder="1" applyAlignment="1">
      <alignment horizontal="right" vertical="center"/>
    </xf>
    <xf numFmtId="55" fontId="20" fillId="2" borderId="0" xfId="0" applyNumberFormat="1" applyFont="1" applyFill="1" applyAlignment="1">
      <alignment horizontal="center" vertical="center"/>
    </xf>
    <xf numFmtId="0" fontId="21" fillId="2" borderId="0" xfId="0" applyFont="1" applyFill="1" applyAlignment="1">
      <alignment horizontal="center" vertical="center"/>
    </xf>
    <xf numFmtId="0" fontId="16" fillId="0" borderId="0" xfId="0" applyFont="1" applyAlignment="1">
      <alignment horizontal="right" vertical="center"/>
    </xf>
    <xf numFmtId="177" fontId="6" fillId="0" borderId="0" xfId="0" applyNumberFormat="1" applyFont="1">
      <alignment vertical="center"/>
    </xf>
    <xf numFmtId="0" fontId="18" fillId="0" borderId="0" xfId="0" applyFont="1" applyAlignment="1">
      <alignment horizontal="left" vertical="top"/>
    </xf>
    <xf numFmtId="0" fontId="22" fillId="2" borderId="0" xfId="0" applyFont="1" applyFill="1" applyAlignment="1">
      <alignment horizontal="center" vertical="center"/>
    </xf>
    <xf numFmtId="58" fontId="4" fillId="0" borderId="30" xfId="0" applyNumberFormat="1" applyFont="1" applyBorder="1" applyAlignment="1">
      <alignment horizontal="distributed" vertical="center" justifyLastLine="1"/>
    </xf>
    <xf numFmtId="0" fontId="15" fillId="0" borderId="30" xfId="0" applyFont="1" applyBorder="1" applyAlignment="1">
      <alignment horizontal="center" vertical="center"/>
    </xf>
    <xf numFmtId="0" fontId="7" fillId="0" borderId="0" xfId="0" applyFont="1" applyAlignment="1">
      <alignment horizontal="right" vertical="center"/>
    </xf>
    <xf numFmtId="0" fontId="6" fillId="0" borderId="0" xfId="0" applyFont="1" applyAlignment="1">
      <alignment horizontal="right" vertical="center"/>
    </xf>
    <xf numFmtId="0" fontId="4" fillId="0" borderId="0" xfId="0" applyFont="1">
      <alignment vertical="center"/>
    </xf>
    <xf numFmtId="0" fontId="23" fillId="0" borderId="0" xfId="0" applyFont="1">
      <alignment vertical="center"/>
    </xf>
    <xf numFmtId="0" fontId="24" fillId="0" borderId="0" xfId="0" applyFont="1">
      <alignment vertical="center"/>
    </xf>
    <xf numFmtId="0" fontId="12" fillId="0" borderId="50" xfId="0" applyFont="1" applyBorder="1" applyAlignment="1">
      <alignment horizontal="right" vertical="center"/>
    </xf>
    <xf numFmtId="0" fontId="6" fillId="0" borderId="39" xfId="146" applyFont="1" applyBorder="1" applyAlignment="1">
      <alignment horizontal="right" vertical="center"/>
    </xf>
    <xf numFmtId="0" fontId="6" fillId="0" borderId="50" xfId="146" applyFont="1" applyBorder="1" applyAlignment="1">
      <alignment horizontal="right" vertical="center"/>
    </xf>
    <xf numFmtId="0" fontId="17" fillId="0" borderId="0" xfId="0" applyFont="1">
      <alignment vertical="center"/>
    </xf>
    <xf numFmtId="177" fontId="11" fillId="0" borderId="15" xfId="0" applyNumberFormat="1" applyFont="1" applyBorder="1" applyAlignment="1">
      <alignment horizontal="right" vertical="center"/>
    </xf>
    <xf numFmtId="0" fontId="9" fillId="0" borderId="37" xfId="0" applyFont="1" applyBorder="1" applyAlignment="1">
      <alignment horizontal="left" vertical="center"/>
    </xf>
    <xf numFmtId="178" fontId="11" fillId="0" borderId="4" xfId="0" applyNumberFormat="1" applyFont="1" applyBorder="1" applyAlignment="1" applyProtection="1">
      <alignment horizontal="right" vertical="center"/>
      <protection locked="0"/>
    </xf>
    <xf numFmtId="177" fontId="11" fillId="0" borderId="47" xfId="0" applyNumberFormat="1" applyFont="1" applyBorder="1" applyAlignment="1" applyProtection="1">
      <alignment horizontal="right" vertical="center"/>
      <protection locked="0"/>
    </xf>
    <xf numFmtId="178" fontId="11" fillId="0" borderId="4" xfId="0" applyNumberFormat="1" applyFont="1" applyBorder="1" applyAlignment="1">
      <alignment horizontal="right" vertical="center"/>
    </xf>
    <xf numFmtId="177" fontId="11" fillId="0" borderId="47" xfId="0" applyNumberFormat="1" applyFont="1" applyBorder="1" applyAlignment="1">
      <alignment horizontal="right" vertical="center"/>
    </xf>
    <xf numFmtId="177" fontId="11" fillId="0" borderId="4" xfId="0" applyNumberFormat="1" applyFont="1" applyBorder="1" applyAlignment="1">
      <alignment horizontal="right" vertical="center"/>
    </xf>
    <xf numFmtId="177" fontId="11" fillId="0" borderId="4" xfId="0" applyNumberFormat="1" applyFont="1" applyBorder="1" applyAlignment="1" applyProtection="1">
      <alignment horizontal="right" vertical="center"/>
      <protection locked="0"/>
    </xf>
    <xf numFmtId="177" fontId="11" fillId="0" borderId="51" xfId="0" applyNumberFormat="1" applyFont="1" applyBorder="1" applyAlignment="1" applyProtection="1">
      <alignment horizontal="right" vertical="center"/>
      <protection locked="0"/>
    </xf>
    <xf numFmtId="177" fontId="11" fillId="0" borderId="51" xfId="0" applyNumberFormat="1" applyFont="1" applyBorder="1" applyAlignment="1">
      <alignment horizontal="right" vertical="center"/>
    </xf>
    <xf numFmtId="0" fontId="11" fillId="0" borderId="47" xfId="0" applyFont="1" applyBorder="1" applyAlignment="1">
      <alignment horizontal="right" vertical="center" justifyLastLine="1"/>
    </xf>
    <xf numFmtId="38" fontId="11" fillId="0" borderId="53" xfId="110" applyFont="1" applyBorder="1" applyAlignment="1">
      <alignment vertical="center" justifyLastLine="1"/>
    </xf>
    <xf numFmtId="182" fontId="12" fillId="0" borderId="28" xfId="0" applyNumberFormat="1" applyFont="1" applyBorder="1" applyAlignment="1">
      <alignment horizontal="right" vertical="center"/>
    </xf>
    <xf numFmtId="183" fontId="12" fillId="0" borderId="18" xfId="0" applyNumberFormat="1" applyFont="1" applyBorder="1" applyAlignment="1">
      <alignment horizontal="right" vertical="center"/>
    </xf>
    <xf numFmtId="182" fontId="12" fillId="0" borderId="18" xfId="0" applyNumberFormat="1" applyFont="1" applyBorder="1" applyAlignment="1">
      <alignment horizontal="right" vertical="center"/>
    </xf>
    <xf numFmtId="185" fontId="12" fillId="0" borderId="18" xfId="0" applyNumberFormat="1" applyFont="1" applyBorder="1" applyAlignment="1">
      <alignment horizontal="right" vertical="center"/>
    </xf>
    <xf numFmtId="0" fontId="12" fillId="0" borderId="18" xfId="0" applyFont="1" applyBorder="1" applyAlignment="1">
      <alignment horizontal="right" vertical="center"/>
    </xf>
    <xf numFmtId="0" fontId="12" fillId="0" borderId="23" xfId="0" applyFont="1" applyBorder="1" applyAlignment="1">
      <alignment horizontal="right" vertical="center"/>
    </xf>
    <xf numFmtId="0" fontId="12" fillId="0" borderId="28" xfId="0" applyFont="1" applyBorder="1" applyAlignment="1">
      <alignment horizontal="right" vertical="center"/>
    </xf>
    <xf numFmtId="185" fontId="12" fillId="0" borderId="19" xfId="0" applyNumberFormat="1" applyFont="1" applyBorder="1" applyAlignment="1">
      <alignment horizontal="right" vertical="center"/>
    </xf>
    <xf numFmtId="185" fontId="12" fillId="0" borderId="23" xfId="0" applyNumberFormat="1" applyFont="1" applyBorder="1" applyAlignment="1">
      <alignment horizontal="right" vertical="center"/>
    </xf>
    <xf numFmtId="0" fontId="12" fillId="0" borderId="54" xfId="0" applyFont="1" applyBorder="1" applyAlignment="1">
      <alignment horizontal="right" vertical="center"/>
    </xf>
    <xf numFmtId="0" fontId="9" fillId="0" borderId="55" xfId="0" applyFont="1" applyBorder="1">
      <alignment vertical="center"/>
    </xf>
    <xf numFmtId="182" fontId="9" fillId="0" borderId="55" xfId="0" applyNumberFormat="1" applyFont="1" applyBorder="1">
      <alignment vertical="center"/>
    </xf>
    <xf numFmtId="182" fontId="12" fillId="0" borderId="54" xfId="0" applyNumberFormat="1" applyFont="1" applyBorder="1" applyAlignment="1">
      <alignment horizontal="right" vertical="center"/>
    </xf>
    <xf numFmtId="0" fontId="5" fillId="0" borderId="0" xfId="0" applyFont="1">
      <alignment vertical="center"/>
    </xf>
    <xf numFmtId="0" fontId="25" fillId="0" borderId="10" xfId="0" applyFont="1" applyBorder="1" applyAlignment="1">
      <alignment horizontal="center" vertical="center" wrapText="1" shrinkToFit="1"/>
    </xf>
    <xf numFmtId="0" fontId="25" fillId="0" borderId="27" xfId="0" applyFont="1" applyBorder="1" applyAlignment="1">
      <alignment horizontal="center" vertical="center" wrapText="1"/>
    </xf>
    <xf numFmtId="182" fontId="25" fillId="0" borderId="5" xfId="0" applyNumberFormat="1" applyFont="1" applyBorder="1" applyAlignment="1">
      <alignment horizontal="center" vertical="center" wrapText="1" shrinkToFit="1"/>
    </xf>
    <xf numFmtId="178" fontId="11" fillId="2" borderId="4" xfId="0" applyNumberFormat="1" applyFont="1" applyFill="1" applyBorder="1" applyAlignment="1" applyProtection="1">
      <alignment horizontal="right" vertical="center"/>
      <protection locked="0"/>
    </xf>
    <xf numFmtId="177" fontId="11" fillId="2" borderId="47" xfId="0" applyNumberFormat="1" applyFont="1" applyFill="1" applyBorder="1" applyAlignment="1" applyProtection="1">
      <alignment horizontal="right" vertical="center"/>
      <protection locked="0"/>
    </xf>
    <xf numFmtId="177" fontId="11" fillId="2" borderId="4" xfId="0" applyNumberFormat="1" applyFont="1" applyFill="1" applyBorder="1" applyAlignment="1" applyProtection="1">
      <alignment horizontal="right" vertical="center"/>
      <protection locked="0"/>
    </xf>
    <xf numFmtId="177" fontId="11" fillId="2" borderId="51" xfId="0" applyNumberFormat="1" applyFont="1" applyFill="1" applyBorder="1" applyAlignment="1" applyProtection="1">
      <alignment horizontal="right" vertical="center"/>
      <protection locked="0"/>
    </xf>
    <xf numFmtId="177" fontId="11" fillId="2" borderId="47" xfId="0" applyNumberFormat="1" applyFont="1" applyFill="1" applyBorder="1" applyAlignment="1">
      <alignment horizontal="right" vertical="center"/>
    </xf>
    <xf numFmtId="178" fontId="11" fillId="2" borderId="4" xfId="0" applyNumberFormat="1" applyFont="1" applyFill="1" applyBorder="1" applyAlignment="1">
      <alignment horizontal="right" vertical="center"/>
    </xf>
    <xf numFmtId="177" fontId="11" fillId="2" borderId="4" xfId="0" applyNumberFormat="1" applyFont="1" applyFill="1" applyBorder="1" applyAlignment="1">
      <alignment horizontal="right" vertical="center"/>
    </xf>
    <xf numFmtId="177" fontId="9" fillId="2" borderId="4" xfId="0" applyNumberFormat="1" applyFont="1" applyFill="1" applyBorder="1" applyAlignment="1">
      <alignment horizontal="right" vertical="center"/>
    </xf>
    <xf numFmtId="177" fontId="11" fillId="2" borderId="58" xfId="0" applyNumberFormat="1" applyFont="1" applyFill="1" applyBorder="1" applyAlignment="1" applyProtection="1">
      <alignment horizontal="right" vertical="center"/>
      <protection locked="0"/>
    </xf>
    <xf numFmtId="178" fontId="11" fillId="2" borderId="51" xfId="0" applyNumberFormat="1" applyFont="1" applyFill="1" applyBorder="1" applyAlignment="1" applyProtection="1">
      <alignment horizontal="right" vertical="center"/>
      <protection locked="0"/>
    </xf>
    <xf numFmtId="177" fontId="11" fillId="2" borderId="0" xfId="0" applyNumberFormat="1" applyFont="1" applyFill="1" applyAlignment="1" applyProtection="1">
      <alignment horizontal="right" vertical="center"/>
      <protection locked="0"/>
    </xf>
    <xf numFmtId="177" fontId="11" fillId="2" borderId="15" xfId="0" applyNumberFormat="1" applyFont="1" applyFill="1" applyBorder="1" applyAlignment="1">
      <alignment horizontal="right" vertical="center"/>
    </xf>
    <xf numFmtId="178" fontId="11" fillId="2" borderId="53" xfId="0" applyNumberFormat="1" applyFont="1" applyFill="1" applyBorder="1" applyAlignment="1" applyProtection="1">
      <alignment horizontal="right" vertical="center"/>
      <protection locked="0"/>
    </xf>
    <xf numFmtId="179" fontId="11" fillId="2" borderId="4" xfId="136" applyNumberFormat="1" applyFont="1" applyFill="1" applyBorder="1" applyAlignment="1">
      <alignment horizontal="right" vertical="center"/>
    </xf>
    <xf numFmtId="177" fontId="11" fillId="2" borderId="51" xfId="0" applyNumberFormat="1" applyFont="1" applyFill="1" applyBorder="1" applyAlignment="1">
      <alignment horizontal="right" vertical="center"/>
    </xf>
    <xf numFmtId="177" fontId="11" fillId="2" borderId="4" xfId="0" applyNumberFormat="1" applyFont="1" applyFill="1" applyBorder="1" applyAlignment="1">
      <alignment horizontal="right" vertical="center" shrinkToFit="1"/>
    </xf>
    <xf numFmtId="177" fontId="11" fillId="2" borderId="47" xfId="0" applyNumberFormat="1" applyFont="1" applyFill="1" applyBorder="1" applyAlignment="1">
      <alignment horizontal="right" vertical="center" shrinkToFit="1"/>
    </xf>
    <xf numFmtId="178" fontId="11" fillId="2" borderId="4" xfId="0" applyNumberFormat="1" applyFont="1" applyFill="1" applyBorder="1" applyAlignment="1">
      <alignment horizontal="right" vertical="center" shrinkToFit="1"/>
    </xf>
    <xf numFmtId="0" fontId="11" fillId="2" borderId="47" xfId="0" applyFont="1" applyFill="1" applyBorder="1" applyAlignment="1">
      <alignment horizontal="right" vertical="center" justifyLastLine="1"/>
    </xf>
    <xf numFmtId="38" fontId="11" fillId="2" borderId="53" xfId="110" applyFont="1" applyFill="1" applyBorder="1" applyAlignment="1">
      <alignment vertical="center" justifyLastLine="1"/>
    </xf>
    <xf numFmtId="177" fontId="11" fillId="2" borderId="53" xfId="0" applyNumberFormat="1" applyFont="1" applyFill="1" applyBorder="1" applyAlignment="1">
      <alignment horizontal="right" vertical="center"/>
    </xf>
    <xf numFmtId="186" fontId="11" fillId="2" borderId="4" xfId="0" applyNumberFormat="1" applyFont="1" applyFill="1" applyBorder="1" applyAlignment="1">
      <alignment horizontal="right" vertical="center"/>
    </xf>
    <xf numFmtId="178" fontId="11" fillId="2" borderId="47" xfId="0" applyNumberFormat="1" applyFont="1" applyFill="1" applyBorder="1" applyAlignment="1">
      <alignment horizontal="right" vertical="center"/>
    </xf>
    <xf numFmtId="177" fontId="11" fillId="2" borderId="58" xfId="0" applyNumberFormat="1" applyFont="1" applyFill="1" applyBorder="1" applyAlignment="1">
      <alignment horizontal="right" vertical="center"/>
    </xf>
    <xf numFmtId="185" fontId="12" fillId="0" borderId="34" xfId="0" applyNumberFormat="1" applyFont="1" applyBorder="1" applyAlignment="1">
      <alignment horizontal="right" vertical="center"/>
    </xf>
    <xf numFmtId="185" fontId="12" fillId="0" borderId="59" xfId="0" applyNumberFormat="1" applyFont="1" applyBorder="1" applyAlignment="1">
      <alignment horizontal="right" vertical="center"/>
    </xf>
    <xf numFmtId="178" fontId="11" fillId="0" borderId="51" xfId="0" applyNumberFormat="1" applyFont="1" applyBorder="1" applyAlignment="1" applyProtection="1">
      <alignment horizontal="right" vertical="center"/>
      <protection locked="0"/>
    </xf>
    <xf numFmtId="178" fontId="11" fillId="0" borderId="58" xfId="0" applyNumberFormat="1" applyFont="1" applyBorder="1" applyAlignment="1" applyProtection="1">
      <alignment horizontal="right" vertical="center"/>
      <protection locked="0"/>
    </xf>
    <xf numFmtId="0" fontId="9" fillId="5" borderId="15" xfId="0" applyFont="1" applyFill="1" applyBorder="1" applyAlignment="1">
      <alignment horizontal="center" vertical="center"/>
    </xf>
    <xf numFmtId="178" fontId="11" fillId="5" borderId="4" xfId="0" applyNumberFormat="1" applyFont="1" applyFill="1" applyBorder="1" applyAlignment="1" applyProtection="1">
      <alignment horizontal="right" vertical="center"/>
      <protection locked="0"/>
    </xf>
    <xf numFmtId="177" fontId="11" fillId="5" borderId="4" xfId="0" applyNumberFormat="1" applyFont="1" applyFill="1" applyBorder="1" applyAlignment="1" applyProtection="1">
      <alignment horizontal="right" vertical="center"/>
      <protection locked="0"/>
    </xf>
    <xf numFmtId="177" fontId="11" fillId="5" borderId="60" xfId="0" applyNumberFormat="1" applyFont="1" applyFill="1" applyBorder="1" applyAlignment="1" applyProtection="1">
      <alignment horizontal="right" vertical="center"/>
      <protection locked="0"/>
    </xf>
    <xf numFmtId="178" fontId="11" fillId="5" borderId="25" xfId="0" applyNumberFormat="1" applyFont="1" applyFill="1" applyBorder="1" applyAlignment="1" applyProtection="1">
      <alignment horizontal="right" vertical="center"/>
      <protection locked="0"/>
    </xf>
    <xf numFmtId="177" fontId="11" fillId="5" borderId="47" xfId="0" applyNumberFormat="1" applyFont="1" applyFill="1" applyBorder="1" applyAlignment="1" applyProtection="1">
      <alignment horizontal="right" vertical="center"/>
      <protection locked="0"/>
    </xf>
    <xf numFmtId="178" fontId="11" fillId="5" borderId="51" xfId="0" applyNumberFormat="1" applyFont="1" applyFill="1" applyBorder="1" applyAlignment="1" applyProtection="1">
      <alignment horizontal="right" vertical="center"/>
      <protection locked="0"/>
    </xf>
    <xf numFmtId="178" fontId="11" fillId="5" borderId="53" xfId="0" applyNumberFormat="1" applyFont="1" applyFill="1" applyBorder="1" applyAlignment="1" applyProtection="1">
      <alignment horizontal="right" vertical="center"/>
      <protection locked="0"/>
    </xf>
    <xf numFmtId="178" fontId="11" fillId="5" borderId="0" xfId="0" applyNumberFormat="1" applyFont="1" applyFill="1" applyAlignment="1" applyProtection="1">
      <alignment horizontal="right" vertical="center"/>
      <protection locked="0"/>
    </xf>
    <xf numFmtId="178" fontId="11" fillId="5" borderId="4" xfId="0" applyNumberFormat="1" applyFont="1" applyFill="1" applyBorder="1" applyAlignment="1">
      <alignment horizontal="right" vertical="center"/>
    </xf>
    <xf numFmtId="177" fontId="11" fillId="5" borderId="4" xfId="0" applyNumberFormat="1" applyFont="1" applyFill="1" applyBorder="1">
      <alignment vertical="center"/>
    </xf>
    <xf numFmtId="178" fontId="11" fillId="5" borderId="4" xfId="0" applyNumberFormat="1" applyFont="1" applyFill="1" applyBorder="1">
      <alignment vertical="center"/>
    </xf>
    <xf numFmtId="178" fontId="11" fillId="5" borderId="26" xfId="0" applyNumberFormat="1" applyFont="1" applyFill="1" applyBorder="1" applyAlignment="1">
      <alignment horizontal="right" vertical="center"/>
    </xf>
    <xf numFmtId="177" fontId="11" fillId="5" borderId="47" xfId="0" applyNumberFormat="1" applyFont="1" applyFill="1" applyBorder="1" applyAlignment="1">
      <alignment horizontal="right" vertical="center"/>
    </xf>
    <xf numFmtId="177" fontId="11" fillId="5" borderId="4" xfId="0" applyNumberFormat="1" applyFont="1" applyFill="1" applyBorder="1" applyAlignment="1">
      <alignment horizontal="right" vertical="center"/>
    </xf>
    <xf numFmtId="177" fontId="11" fillId="5" borderId="25" xfId="0" applyNumberFormat="1" applyFont="1" applyFill="1" applyBorder="1" applyAlignment="1">
      <alignment horizontal="right" vertical="center"/>
    </xf>
    <xf numFmtId="177" fontId="11" fillId="5" borderId="25" xfId="0" applyNumberFormat="1" applyFont="1" applyFill="1" applyBorder="1" applyAlignment="1" applyProtection="1">
      <alignment horizontal="right" vertical="center"/>
      <protection locked="0"/>
    </xf>
    <xf numFmtId="177" fontId="11" fillId="5" borderId="51" xfId="0" applyNumberFormat="1" applyFont="1" applyFill="1" applyBorder="1" applyAlignment="1" applyProtection="1">
      <alignment horizontal="right" vertical="center"/>
      <protection locked="0"/>
    </xf>
    <xf numFmtId="177" fontId="11" fillId="5" borderId="0" xfId="0" applyNumberFormat="1" applyFont="1" applyFill="1" applyAlignment="1" applyProtection="1">
      <alignment horizontal="right" vertical="center"/>
      <protection locked="0"/>
    </xf>
    <xf numFmtId="177" fontId="11" fillId="5" borderId="15" xfId="0" applyNumberFormat="1" applyFont="1" applyFill="1" applyBorder="1" applyAlignment="1">
      <alignment horizontal="right" vertical="center"/>
    </xf>
    <xf numFmtId="177" fontId="11" fillId="5" borderId="53" xfId="0" applyNumberFormat="1" applyFont="1" applyFill="1" applyBorder="1" applyAlignment="1">
      <alignment horizontal="right" vertical="center"/>
    </xf>
    <xf numFmtId="177" fontId="9" fillId="5" borderId="4" xfId="0" applyNumberFormat="1" applyFont="1" applyFill="1" applyBorder="1" applyAlignment="1">
      <alignment horizontal="right" vertical="center"/>
    </xf>
    <xf numFmtId="179" fontId="11" fillId="5" borderId="4" xfId="136" applyNumberFormat="1" applyFont="1" applyFill="1" applyBorder="1" applyAlignment="1">
      <alignment horizontal="right" vertical="center"/>
    </xf>
    <xf numFmtId="177" fontId="11" fillId="5" borderId="4" xfId="136" applyNumberFormat="1" applyFont="1" applyFill="1" applyBorder="1" applyAlignment="1">
      <alignment horizontal="right" vertical="center"/>
    </xf>
    <xf numFmtId="177" fontId="11" fillId="5" borderId="47" xfId="136" applyNumberFormat="1" applyFont="1" applyFill="1" applyBorder="1" applyAlignment="1">
      <alignment horizontal="right" vertical="center"/>
    </xf>
    <xf numFmtId="177" fontId="11" fillId="5" borderId="26" xfId="0" applyNumberFormat="1" applyFont="1" applyFill="1" applyBorder="1" applyAlignment="1">
      <alignment horizontal="right" vertical="center"/>
    </xf>
    <xf numFmtId="177" fontId="11" fillId="5" borderId="51" xfId="0" applyNumberFormat="1" applyFont="1" applyFill="1" applyBorder="1" applyAlignment="1">
      <alignment horizontal="right" vertical="center"/>
    </xf>
    <xf numFmtId="177" fontId="11" fillId="5" borderId="51" xfId="0" applyNumberFormat="1" applyFont="1" applyFill="1" applyBorder="1" applyAlignment="1">
      <alignment horizontal="right" vertical="center" shrinkToFit="1"/>
    </xf>
    <xf numFmtId="177" fontId="11" fillId="5" borderId="4" xfId="0" applyNumberFormat="1" applyFont="1" applyFill="1" applyBorder="1" applyAlignment="1">
      <alignment horizontal="right" vertical="center" shrinkToFit="1"/>
    </xf>
    <xf numFmtId="178" fontId="11" fillId="5" borderId="4" xfId="0" applyNumberFormat="1" applyFont="1" applyFill="1" applyBorder="1" applyAlignment="1">
      <alignment horizontal="right" vertical="center" shrinkToFit="1"/>
    </xf>
    <xf numFmtId="177" fontId="11" fillId="5" borderId="0" xfId="0" applyNumberFormat="1" applyFont="1" applyFill="1" applyAlignment="1">
      <alignment horizontal="right" vertical="center"/>
    </xf>
    <xf numFmtId="177" fontId="11" fillId="5" borderId="60" xfId="0" applyNumberFormat="1" applyFont="1" applyFill="1" applyBorder="1" applyAlignment="1">
      <alignment horizontal="right" vertical="center"/>
    </xf>
    <xf numFmtId="177" fontId="11" fillId="5" borderId="12" xfId="0" applyNumberFormat="1" applyFont="1" applyFill="1" applyBorder="1" applyAlignment="1">
      <alignment horizontal="right" vertical="center"/>
    </xf>
    <xf numFmtId="0" fontId="11" fillId="5" borderId="47" xfId="0" applyFont="1" applyFill="1" applyBorder="1" applyAlignment="1">
      <alignment horizontal="right" vertical="center" justifyLastLine="1"/>
    </xf>
    <xf numFmtId="38" fontId="11" fillId="5" borderId="53" xfId="110" applyFont="1" applyFill="1" applyBorder="1" applyAlignment="1">
      <alignment vertical="center" justifyLastLine="1"/>
    </xf>
    <xf numFmtId="177" fontId="11" fillId="5" borderId="4" xfId="0" quotePrefix="1" applyNumberFormat="1" applyFont="1" applyFill="1" applyBorder="1" applyAlignment="1">
      <alignment horizontal="right" vertical="center"/>
    </xf>
    <xf numFmtId="38" fontId="11" fillId="5" borderId="53" xfId="110" applyFont="1" applyFill="1" applyBorder="1" applyAlignment="1">
      <alignment horizontal="right" vertical="center" justifyLastLine="1"/>
    </xf>
    <xf numFmtId="38" fontId="11" fillId="5" borderId="53" xfId="111" applyFont="1" applyFill="1" applyBorder="1" applyAlignment="1">
      <alignment vertical="center" justifyLastLine="1"/>
    </xf>
    <xf numFmtId="0" fontId="11" fillId="5" borderId="47" xfId="0" applyFont="1" applyFill="1" applyBorder="1" applyAlignment="1">
      <alignment horizontal="right" vertical="center"/>
    </xf>
    <xf numFmtId="38" fontId="11" fillId="5" borderId="53" xfId="110" applyFont="1" applyFill="1" applyBorder="1">
      <alignment vertical="center"/>
    </xf>
    <xf numFmtId="186" fontId="11" fillId="5" borderId="25" xfId="0" applyNumberFormat="1" applyFont="1" applyFill="1" applyBorder="1" applyAlignment="1">
      <alignment horizontal="right" vertical="center"/>
    </xf>
    <xf numFmtId="178" fontId="11" fillId="5" borderId="25" xfId="0" applyNumberFormat="1" applyFont="1" applyFill="1" applyBorder="1" applyAlignment="1">
      <alignment horizontal="right" vertical="center"/>
    </xf>
    <xf numFmtId="178" fontId="11" fillId="5" borderId="60" xfId="0" applyNumberFormat="1" applyFont="1" applyFill="1" applyBorder="1" applyAlignment="1">
      <alignment horizontal="right" vertical="center"/>
    </xf>
    <xf numFmtId="186" fontId="11" fillId="5" borderId="4" xfId="0" applyNumberFormat="1" applyFont="1" applyFill="1" applyBorder="1" applyAlignment="1">
      <alignment horizontal="right" vertical="center"/>
    </xf>
    <xf numFmtId="178" fontId="11" fillId="5" borderId="47" xfId="0" applyNumberFormat="1" applyFont="1" applyFill="1" applyBorder="1" applyAlignment="1">
      <alignment horizontal="right" vertical="center"/>
    </xf>
    <xf numFmtId="178" fontId="11" fillId="5" borderId="26" xfId="0" applyNumberFormat="1" applyFont="1" applyFill="1" applyBorder="1" applyAlignment="1" applyProtection="1">
      <alignment horizontal="right" vertical="center"/>
      <protection locked="0"/>
    </xf>
    <xf numFmtId="178" fontId="11" fillId="5" borderId="51" xfId="0" applyNumberFormat="1" applyFont="1" applyFill="1" applyBorder="1" applyAlignment="1">
      <alignment horizontal="right" vertical="center"/>
    </xf>
    <xf numFmtId="177" fontId="11" fillId="5" borderId="15" xfId="0" applyNumberFormat="1" applyFont="1" applyFill="1" applyBorder="1" applyAlignment="1">
      <alignment horizontal="right" vertical="center" shrinkToFit="1"/>
    </xf>
    <xf numFmtId="177" fontId="11" fillId="5" borderId="58" xfId="0" applyNumberFormat="1" applyFont="1" applyFill="1" applyBorder="1" applyAlignment="1">
      <alignment horizontal="right" vertical="center"/>
    </xf>
    <xf numFmtId="178" fontId="11" fillId="5" borderId="0" xfId="0" applyNumberFormat="1" applyFont="1" applyFill="1" applyAlignment="1">
      <alignment horizontal="right" vertical="center"/>
    </xf>
    <xf numFmtId="177" fontId="11" fillId="5" borderId="58" xfId="0" applyNumberFormat="1" applyFont="1" applyFill="1" applyBorder="1" applyAlignment="1" applyProtection="1">
      <alignment horizontal="right" vertical="center"/>
      <protection locked="0"/>
    </xf>
    <xf numFmtId="177" fontId="11" fillId="5" borderId="58" xfId="0" applyNumberFormat="1" applyFont="1" applyFill="1" applyBorder="1" applyProtection="1">
      <alignment vertical="center"/>
      <protection locked="0"/>
    </xf>
    <xf numFmtId="177" fontId="11" fillId="5" borderId="26" xfId="0" applyNumberFormat="1" applyFont="1" applyFill="1" applyBorder="1" applyAlignment="1">
      <alignment horizontal="center" vertical="center"/>
    </xf>
    <xf numFmtId="177" fontId="11" fillId="5" borderId="13" xfId="0" applyNumberFormat="1" applyFont="1" applyFill="1" applyBorder="1" applyAlignment="1">
      <alignment horizontal="right" vertical="center"/>
    </xf>
    <xf numFmtId="177" fontId="11" fillId="5" borderId="47" xfId="0" quotePrefix="1" applyNumberFormat="1" applyFont="1" applyFill="1" applyBorder="1" applyAlignment="1">
      <alignment horizontal="right" vertical="center"/>
    </xf>
    <xf numFmtId="177" fontId="11" fillId="0" borderId="15" xfId="0" applyNumberFormat="1" applyFont="1" applyBorder="1" applyAlignment="1" applyProtection="1">
      <alignment horizontal="right" vertical="center"/>
      <protection locked="0"/>
    </xf>
    <xf numFmtId="0" fontId="9" fillId="0" borderId="67" xfId="0" applyFont="1" applyBorder="1" applyAlignment="1">
      <alignment horizontal="center" vertical="center"/>
    </xf>
    <xf numFmtId="177" fontId="11" fillId="0" borderId="53" xfId="0" applyNumberFormat="1" applyFont="1" applyBorder="1" applyAlignment="1">
      <alignment horizontal="right" vertical="center"/>
    </xf>
    <xf numFmtId="1" fontId="11" fillId="5" borderId="15" xfId="0" applyNumberFormat="1" applyFont="1" applyFill="1" applyBorder="1" applyAlignment="1">
      <alignment horizontal="right" vertical="center" justifyLastLine="1"/>
    </xf>
    <xf numFmtId="178" fontId="11" fillId="5" borderId="15" xfId="0" applyNumberFormat="1" applyFont="1" applyFill="1" applyBorder="1" applyAlignment="1">
      <alignment horizontal="right" vertical="center"/>
    </xf>
    <xf numFmtId="177" fontId="11" fillId="0" borderId="4" xfId="0" applyNumberFormat="1" applyFont="1" applyBorder="1" applyAlignment="1">
      <alignment horizontal="right" vertical="center" shrinkToFit="1"/>
    </xf>
    <xf numFmtId="177" fontId="11" fillId="0" borderId="58" xfId="0" applyNumberFormat="1" applyFont="1" applyBorder="1" applyAlignment="1">
      <alignment horizontal="right" vertical="center"/>
    </xf>
    <xf numFmtId="177" fontId="11" fillId="5" borderId="22" xfId="0" applyNumberFormat="1" applyFont="1" applyFill="1" applyBorder="1" applyAlignment="1">
      <alignment horizontal="right" vertical="center"/>
    </xf>
    <xf numFmtId="177" fontId="11" fillId="5" borderId="22" xfId="0" applyNumberFormat="1" applyFont="1" applyFill="1" applyBorder="1" applyAlignment="1" applyProtection="1">
      <alignment horizontal="right" vertical="center"/>
      <protection locked="0"/>
    </xf>
    <xf numFmtId="177" fontId="11" fillId="0" borderId="58" xfId="0" applyNumberFormat="1" applyFont="1" applyBorder="1" applyAlignment="1" applyProtection="1">
      <alignment horizontal="right" vertical="center"/>
      <protection locked="0"/>
    </xf>
    <xf numFmtId="178" fontId="11" fillId="5" borderId="58" xfId="0" applyNumberFormat="1" applyFont="1" applyFill="1" applyBorder="1" applyAlignment="1" applyProtection="1">
      <alignment horizontal="right" vertical="center"/>
      <protection locked="0"/>
    </xf>
    <xf numFmtId="38" fontId="9" fillId="0" borderId="4" xfId="110" applyFont="1" applyBorder="1" applyAlignment="1">
      <alignment horizontal="right" vertical="center"/>
    </xf>
    <xf numFmtId="178" fontId="11" fillId="2" borderId="0" xfId="0" applyNumberFormat="1" applyFont="1" applyFill="1" applyAlignment="1" applyProtection="1">
      <alignment horizontal="right" vertical="center"/>
      <protection locked="0"/>
    </xf>
    <xf numFmtId="49" fontId="11" fillId="5" borderId="4" xfId="0" applyNumberFormat="1" applyFont="1" applyFill="1" applyBorder="1" applyAlignment="1">
      <alignment horizontal="right" vertical="center"/>
    </xf>
    <xf numFmtId="38" fontId="11" fillId="0" borderId="53" xfId="111" applyFont="1" applyBorder="1" applyAlignment="1">
      <alignment vertical="center" justifyLastLine="1"/>
    </xf>
    <xf numFmtId="177" fontId="11" fillId="5" borderId="4" xfId="0" quotePrefix="1" applyNumberFormat="1" applyFont="1" applyFill="1" applyBorder="1" applyAlignment="1" applyProtection="1">
      <alignment horizontal="right" vertical="center"/>
      <protection locked="0"/>
    </xf>
    <xf numFmtId="177" fontId="11" fillId="5" borderId="15" xfId="0" quotePrefix="1" applyNumberFormat="1" applyFont="1" applyFill="1" applyBorder="1" applyAlignment="1">
      <alignment horizontal="right" vertical="center"/>
    </xf>
    <xf numFmtId="177" fontId="11" fillId="5" borderId="51" xfId="0" quotePrefix="1" applyNumberFormat="1" applyFont="1" applyFill="1" applyBorder="1" applyAlignment="1">
      <alignment horizontal="right" vertical="center"/>
    </xf>
    <xf numFmtId="186" fontId="11" fillId="0" borderId="4" xfId="0" applyNumberFormat="1" applyFont="1" applyBorder="1" applyAlignment="1">
      <alignment horizontal="right" vertical="center"/>
    </xf>
    <xf numFmtId="178" fontId="11" fillId="0" borderId="47" xfId="0" applyNumberFormat="1" applyFont="1" applyBorder="1" applyAlignment="1">
      <alignment horizontal="right" vertical="center"/>
    </xf>
    <xf numFmtId="177" fontId="11" fillId="0" borderId="4" xfId="0" quotePrefix="1" applyNumberFormat="1" applyFont="1" applyBorder="1" applyAlignment="1">
      <alignment horizontal="right" vertical="center"/>
    </xf>
    <xf numFmtId="0" fontId="11" fillId="2" borderId="15" xfId="0"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2" borderId="58" xfId="0" applyNumberFormat="1" applyFont="1" applyFill="1" applyBorder="1" applyAlignment="1" applyProtection="1">
      <alignment horizontal="right" vertical="center"/>
      <protection locked="0"/>
    </xf>
    <xf numFmtId="177" fontId="11" fillId="80" borderId="4" xfId="0" applyNumberFormat="1" applyFont="1" applyFill="1" applyBorder="1" applyAlignment="1">
      <alignment horizontal="right" vertical="center"/>
    </xf>
    <xf numFmtId="178" fontId="11" fillId="80" borderId="4" xfId="0" applyNumberFormat="1" applyFont="1" applyFill="1" applyBorder="1" applyAlignment="1">
      <alignment horizontal="right" vertical="center"/>
    </xf>
    <xf numFmtId="178" fontId="11" fillId="80" borderId="47" xfId="0" applyNumberFormat="1" applyFont="1" applyFill="1" applyBorder="1" applyAlignment="1">
      <alignment horizontal="right" vertical="center"/>
    </xf>
    <xf numFmtId="58" fontId="5" fillId="0" borderId="30" xfId="0" applyNumberFormat="1" applyFont="1" applyBorder="1" applyAlignment="1">
      <alignment horizontal="distributed" vertical="center" justifyLastLine="1"/>
    </xf>
    <xf numFmtId="0" fontId="5" fillId="0" borderId="30" xfId="0" applyFont="1" applyBorder="1" applyAlignment="1">
      <alignment horizontal="center" vertical="center"/>
    </xf>
    <xf numFmtId="0" fontId="5" fillId="0" borderId="30" xfId="0" applyFont="1" applyBorder="1" applyAlignment="1">
      <alignment vertical="center" wrapText="1"/>
    </xf>
    <xf numFmtId="0" fontId="5" fillId="0" borderId="30" xfId="0" applyFont="1" applyBorder="1">
      <alignment vertical="center"/>
    </xf>
    <xf numFmtId="58" fontId="5" fillId="0" borderId="31" xfId="0" applyNumberFormat="1" applyFont="1" applyBorder="1" applyAlignment="1">
      <alignment horizontal="distributed" vertical="center" justifyLastLine="1"/>
    </xf>
    <xf numFmtId="0" fontId="5" fillId="2" borderId="0" xfId="0" applyFont="1" applyFill="1">
      <alignment vertical="center"/>
    </xf>
    <xf numFmtId="58" fontId="5" fillId="0" borderId="37" xfId="0" applyNumberFormat="1" applyFont="1" applyBorder="1" applyAlignment="1">
      <alignment horizontal="distributed" vertical="center" justifyLastLine="1"/>
    </xf>
    <xf numFmtId="0" fontId="5" fillId="0" borderId="37" xfId="0" applyFont="1" applyBorder="1" applyAlignment="1">
      <alignment horizontal="center" vertical="center"/>
    </xf>
    <xf numFmtId="0" fontId="5" fillId="0" borderId="37" xfId="0" applyFont="1" applyBorder="1" applyAlignment="1">
      <alignment vertical="center" wrapText="1"/>
    </xf>
    <xf numFmtId="178" fontId="11" fillId="80" borderId="64" xfId="0" applyNumberFormat="1" applyFont="1" applyFill="1" applyBorder="1" applyAlignment="1" applyProtection="1">
      <alignment horizontal="right" vertical="center"/>
      <protection locked="0"/>
    </xf>
    <xf numFmtId="178" fontId="11" fillId="80" borderId="4" xfId="0" applyNumberFormat="1" applyFont="1" applyFill="1" applyBorder="1" applyAlignment="1" applyProtection="1">
      <alignment horizontal="right" vertical="center"/>
      <protection locked="0"/>
    </xf>
    <xf numFmtId="177" fontId="11" fillId="80" borderId="47" xfId="0" applyNumberFormat="1" applyFont="1" applyFill="1" applyBorder="1" applyAlignment="1">
      <alignment horizontal="right" vertical="center"/>
    </xf>
    <xf numFmtId="178" fontId="11" fillId="80" borderId="0" xfId="0" applyNumberFormat="1" applyFont="1" applyFill="1" applyAlignment="1">
      <alignment horizontal="right" vertical="center"/>
    </xf>
    <xf numFmtId="177" fontId="11" fillId="80" borderId="51" xfId="0" applyNumberFormat="1" applyFont="1" applyFill="1" applyBorder="1" applyAlignment="1">
      <alignment horizontal="right" vertical="center"/>
    </xf>
    <xf numFmtId="177" fontId="11" fillId="80" borderId="53" xfId="0" applyNumberFormat="1" applyFont="1" applyFill="1" applyBorder="1" applyAlignment="1">
      <alignment horizontal="right" vertical="center"/>
    </xf>
    <xf numFmtId="177" fontId="9" fillId="2" borderId="51" xfId="0" applyNumberFormat="1" applyFont="1" applyFill="1" applyBorder="1" applyAlignment="1">
      <alignment horizontal="right" vertical="center"/>
    </xf>
    <xf numFmtId="177" fontId="9" fillId="5" borderId="51" xfId="0" applyNumberFormat="1" applyFont="1" applyFill="1" applyBorder="1" applyAlignment="1">
      <alignment horizontal="right" vertical="center" shrinkToFit="1"/>
    </xf>
    <xf numFmtId="177" fontId="9" fillId="0" borderId="51" xfId="0" applyNumberFormat="1" applyFont="1" applyBorder="1" applyAlignment="1">
      <alignment horizontal="right" vertical="center"/>
    </xf>
    <xf numFmtId="177" fontId="9" fillId="2" borderId="51" xfId="0" applyNumberFormat="1" applyFont="1" applyFill="1" applyBorder="1" applyAlignment="1">
      <alignment horizontal="right" vertical="center" shrinkToFit="1"/>
    </xf>
    <xf numFmtId="0" fontId="12" fillId="2" borderId="40" xfId="0" applyFont="1" applyFill="1" applyBorder="1" applyAlignment="1">
      <alignment horizontal="right" vertical="center"/>
    </xf>
    <xf numFmtId="0" fontId="12" fillId="2" borderId="34" xfId="0" applyFont="1" applyFill="1" applyBorder="1" applyAlignment="1">
      <alignment horizontal="right" vertical="center"/>
    </xf>
    <xf numFmtId="0" fontId="9" fillId="81" borderId="15" xfId="0" applyFont="1" applyFill="1" applyBorder="1" applyAlignment="1">
      <alignment horizontal="center" vertical="center"/>
    </xf>
    <xf numFmtId="0" fontId="9" fillId="81" borderId="75" xfId="0" applyFont="1" applyFill="1" applyBorder="1" applyAlignment="1">
      <alignment horizontal="center" vertical="center"/>
    </xf>
    <xf numFmtId="178" fontId="11" fillId="81" borderId="4" xfId="0" applyNumberFormat="1" applyFont="1" applyFill="1" applyBorder="1" applyAlignment="1" applyProtection="1">
      <alignment horizontal="right" vertical="center"/>
      <protection locked="0"/>
    </xf>
    <xf numFmtId="177" fontId="11" fillId="81" borderId="47" xfId="0" applyNumberFormat="1" applyFont="1" applyFill="1" applyBorder="1" applyAlignment="1" applyProtection="1">
      <alignment horizontal="right" vertical="center"/>
      <protection locked="0"/>
    </xf>
    <xf numFmtId="177" fontId="11" fillId="81" borderId="15" xfId="0" applyNumberFormat="1" applyFont="1" applyFill="1" applyBorder="1" applyAlignment="1">
      <alignment horizontal="right" vertical="center"/>
    </xf>
    <xf numFmtId="177" fontId="11" fillId="81" borderId="4" xfId="0" applyNumberFormat="1" applyFont="1" applyFill="1" applyBorder="1" applyAlignment="1" applyProtection="1">
      <alignment horizontal="right" vertical="center"/>
      <protection locked="0"/>
    </xf>
    <xf numFmtId="0" fontId="9" fillId="81" borderId="32" xfId="0" applyFont="1" applyFill="1" applyBorder="1" applyAlignment="1">
      <alignment horizontal="center" vertical="center"/>
    </xf>
    <xf numFmtId="178" fontId="11" fillId="81" borderId="51" xfId="0" applyNumberFormat="1" applyFont="1" applyFill="1" applyBorder="1" applyAlignment="1" applyProtection="1">
      <alignment horizontal="right" vertical="center"/>
      <protection locked="0"/>
    </xf>
    <xf numFmtId="177" fontId="11" fillId="81" borderId="47" xfId="0" applyNumberFormat="1" applyFont="1" applyFill="1" applyBorder="1" applyAlignment="1">
      <alignment horizontal="right" vertical="center"/>
    </xf>
    <xf numFmtId="178" fontId="11" fillId="81" borderId="53" xfId="0" applyNumberFormat="1" applyFont="1" applyFill="1" applyBorder="1" applyAlignment="1" applyProtection="1">
      <alignment horizontal="right" vertical="center"/>
      <protection locked="0"/>
    </xf>
    <xf numFmtId="177" fontId="11" fillId="81" borderId="51" xfId="0" applyNumberFormat="1" applyFont="1" applyFill="1" applyBorder="1" applyAlignment="1" applyProtection="1">
      <alignment horizontal="right" vertical="center"/>
      <protection locked="0"/>
    </xf>
    <xf numFmtId="177" fontId="11" fillId="81" borderId="4" xfId="0" applyNumberFormat="1" applyFont="1" applyFill="1" applyBorder="1" applyAlignment="1">
      <alignment horizontal="right" vertical="center"/>
    </xf>
    <xf numFmtId="178" fontId="11" fillId="81" borderId="4" xfId="0" applyNumberFormat="1" applyFont="1" applyFill="1" applyBorder="1" applyAlignment="1">
      <alignment horizontal="right" vertical="center"/>
    </xf>
    <xf numFmtId="177" fontId="11" fillId="81" borderId="0" xfId="0" applyNumberFormat="1" applyFont="1" applyFill="1" applyAlignment="1" applyProtection="1">
      <alignment horizontal="right" vertical="center"/>
      <protection locked="0"/>
    </xf>
    <xf numFmtId="177" fontId="9" fillId="81" borderId="4" xfId="0" applyNumberFormat="1" applyFont="1" applyFill="1" applyBorder="1" applyAlignment="1">
      <alignment horizontal="right" vertical="center"/>
    </xf>
    <xf numFmtId="177" fontId="11" fillId="81" borderId="51" xfId="0" applyNumberFormat="1" applyFont="1" applyFill="1" applyBorder="1" applyAlignment="1">
      <alignment horizontal="right" vertical="center"/>
    </xf>
    <xf numFmtId="177" fontId="11" fillId="81" borderId="53" xfId="0" applyNumberFormat="1" applyFont="1" applyFill="1" applyBorder="1" applyAlignment="1">
      <alignment horizontal="right" vertical="center"/>
    </xf>
    <xf numFmtId="0" fontId="11" fillId="81" borderId="47" xfId="0" applyFont="1" applyFill="1" applyBorder="1" applyAlignment="1">
      <alignment horizontal="right" vertical="center" justifyLastLine="1"/>
    </xf>
    <xf numFmtId="38" fontId="11" fillId="81" borderId="53" xfId="110" applyFont="1" applyFill="1" applyBorder="1" applyAlignment="1">
      <alignment vertical="center" justifyLastLine="1"/>
    </xf>
    <xf numFmtId="186" fontId="11" fillId="81" borderId="4" xfId="0" applyNumberFormat="1" applyFont="1" applyFill="1" applyBorder="1" applyAlignment="1">
      <alignment horizontal="right" vertical="center"/>
    </xf>
    <xf numFmtId="178" fontId="11" fillId="81" borderId="47" xfId="0" applyNumberFormat="1" applyFont="1" applyFill="1" applyBorder="1" applyAlignment="1">
      <alignment horizontal="right" vertical="center"/>
    </xf>
    <xf numFmtId="38" fontId="9" fillId="81" borderId="4" xfId="110" applyFont="1" applyFill="1" applyBorder="1" applyAlignment="1">
      <alignment horizontal="right" vertical="center"/>
    </xf>
    <xf numFmtId="177" fontId="11" fillId="81" borderId="58" xfId="0" applyNumberFormat="1" applyFont="1" applyFill="1" applyBorder="1" applyAlignment="1">
      <alignment horizontal="right" vertical="center"/>
    </xf>
    <xf numFmtId="177" fontId="11" fillId="81" borderId="58" xfId="0" applyNumberFormat="1" applyFont="1" applyFill="1" applyBorder="1" applyAlignment="1" applyProtection="1">
      <alignment horizontal="right" vertical="center"/>
      <protection locked="0"/>
    </xf>
    <xf numFmtId="178" fontId="11" fillId="81" borderId="58" xfId="0" applyNumberFormat="1" applyFont="1" applyFill="1" applyBorder="1" applyAlignment="1" applyProtection="1">
      <alignment horizontal="right" vertical="center"/>
      <protection locked="0"/>
    </xf>
    <xf numFmtId="178" fontId="11" fillId="2" borderId="62" xfId="0" applyNumberFormat="1" applyFont="1" applyFill="1" applyBorder="1" applyAlignment="1" applyProtection="1">
      <alignment horizontal="right" vertical="center"/>
      <protection locked="0"/>
    </xf>
    <xf numFmtId="178" fontId="11" fillId="2" borderId="76" xfId="0" applyNumberFormat="1" applyFont="1" applyFill="1" applyBorder="1" applyAlignment="1" applyProtection="1">
      <alignment horizontal="right" vertical="center"/>
      <protection locked="0"/>
    </xf>
    <xf numFmtId="178" fontId="11" fillId="2" borderId="63" xfId="0" applyNumberFormat="1" applyFont="1" applyFill="1" applyBorder="1" applyAlignment="1" applyProtection="1">
      <alignment horizontal="right" vertical="center"/>
      <protection locked="0"/>
    </xf>
    <xf numFmtId="178" fontId="11" fillId="81" borderId="0" xfId="0" applyNumberFormat="1" applyFont="1" applyFill="1" applyAlignment="1" applyProtection="1">
      <alignment horizontal="right" vertical="center"/>
      <protection locked="0"/>
    </xf>
    <xf numFmtId="177" fontId="11" fillId="5" borderId="33" xfId="0" applyNumberFormat="1" applyFont="1" applyFill="1" applyBorder="1" applyAlignment="1" applyProtection="1">
      <alignment horizontal="right" vertical="center"/>
      <protection locked="0"/>
    </xf>
    <xf numFmtId="178" fontId="11" fillId="5" borderId="12" xfId="0" applyNumberFormat="1" applyFont="1" applyFill="1" applyBorder="1" applyAlignment="1">
      <alignment horizontal="right" vertical="center"/>
    </xf>
    <xf numFmtId="177" fontId="11" fillId="5" borderId="25" xfId="0" applyNumberFormat="1" applyFont="1" applyFill="1" applyBorder="1" applyAlignment="1">
      <alignment horizontal="right" vertical="center" shrinkToFit="1"/>
    </xf>
    <xf numFmtId="178" fontId="11" fillId="5" borderId="26" xfId="0" applyNumberFormat="1" applyFont="1" applyFill="1" applyBorder="1" applyAlignment="1">
      <alignment horizontal="right" vertical="center" shrinkToFit="1"/>
    </xf>
    <xf numFmtId="177" fontId="11" fillId="5" borderId="60" xfId="0" applyNumberFormat="1" applyFont="1" applyFill="1" applyBorder="1" applyAlignment="1">
      <alignment horizontal="right" vertical="center" shrinkToFit="1"/>
    </xf>
    <xf numFmtId="178" fontId="11" fillId="5" borderId="25" xfId="0" applyNumberFormat="1" applyFont="1" applyFill="1" applyBorder="1" applyAlignment="1">
      <alignment horizontal="right" vertical="center" shrinkToFit="1"/>
    </xf>
    <xf numFmtId="177" fontId="11" fillId="5" borderId="33" xfId="0" applyNumberFormat="1" applyFont="1" applyFill="1" applyBorder="1" applyAlignment="1">
      <alignment horizontal="right" vertical="center" shrinkToFit="1"/>
    </xf>
    <xf numFmtId="178" fontId="11" fillId="5" borderId="74" xfId="0" applyNumberFormat="1" applyFont="1" applyFill="1" applyBorder="1" applyAlignment="1">
      <alignment horizontal="right" vertical="center"/>
    </xf>
    <xf numFmtId="178" fontId="11" fillId="2" borderId="74" xfId="0" applyNumberFormat="1" applyFont="1" applyFill="1" applyBorder="1" applyAlignment="1">
      <alignment horizontal="right" vertical="center"/>
    </xf>
    <xf numFmtId="177" fontId="11" fillId="5" borderId="47" xfId="0" applyNumberFormat="1" applyFont="1" applyFill="1" applyBorder="1" applyAlignment="1">
      <alignment horizontal="right" vertical="center" shrinkToFit="1"/>
    </xf>
    <xf numFmtId="177" fontId="11" fillId="0" borderId="47" xfId="0" applyNumberFormat="1" applyFont="1" applyBorder="1" applyAlignment="1">
      <alignment horizontal="right" vertical="center" shrinkToFit="1"/>
    </xf>
    <xf numFmtId="178" fontId="11" fillId="0" borderId="4" xfId="0" applyNumberFormat="1" applyFont="1" applyBorder="1" applyAlignment="1">
      <alignment horizontal="right" vertical="center" shrinkToFit="1"/>
    </xf>
    <xf numFmtId="178" fontId="11" fillId="81" borderId="51" xfId="0" applyNumberFormat="1" applyFont="1" applyFill="1" applyBorder="1" applyAlignment="1">
      <alignment horizontal="right" vertical="center"/>
    </xf>
    <xf numFmtId="177" fontId="11" fillId="81" borderId="4" xfId="0" applyNumberFormat="1" applyFont="1" applyFill="1" applyBorder="1" applyAlignment="1">
      <alignment horizontal="right" vertical="center" shrinkToFit="1"/>
    </xf>
    <xf numFmtId="177" fontId="11" fillId="81" borderId="47" xfId="0" applyNumberFormat="1" applyFont="1" applyFill="1" applyBorder="1" applyAlignment="1">
      <alignment horizontal="right" vertical="center" shrinkToFit="1"/>
    </xf>
    <xf numFmtId="178" fontId="11" fillId="81" borderId="4" xfId="0" applyNumberFormat="1" applyFont="1" applyFill="1" applyBorder="1" applyAlignment="1">
      <alignment horizontal="right" vertical="center" shrinkToFit="1"/>
    </xf>
    <xf numFmtId="177" fontId="11" fillId="81" borderId="51" xfId="0" applyNumberFormat="1" applyFont="1" applyFill="1" applyBorder="1" applyAlignment="1">
      <alignment horizontal="right" vertical="center" shrinkToFit="1"/>
    </xf>
    <xf numFmtId="177" fontId="11" fillId="0" borderId="51" xfId="0" applyNumberFormat="1" applyFont="1" applyBorder="1" applyAlignment="1">
      <alignment horizontal="right" vertical="center" shrinkToFit="1"/>
    </xf>
    <xf numFmtId="177" fontId="11" fillId="2" borderId="51" xfId="0" applyNumberFormat="1" applyFont="1" applyFill="1" applyBorder="1" applyAlignment="1">
      <alignment horizontal="right" vertical="center" shrinkToFit="1"/>
    </xf>
    <xf numFmtId="178" fontId="11" fillId="0" borderId="74" xfId="0" applyNumberFormat="1" applyFont="1" applyBorder="1" applyAlignment="1">
      <alignment horizontal="right" vertical="center"/>
    </xf>
    <xf numFmtId="177" fontId="11" fillId="2" borderId="15" xfId="0" applyNumberFormat="1" applyFont="1" applyFill="1" applyBorder="1" applyAlignment="1">
      <alignment horizontal="right" vertical="center" shrinkToFit="1"/>
    </xf>
    <xf numFmtId="177" fontId="11" fillId="2" borderId="58" xfId="0" applyNumberFormat="1" applyFont="1" applyFill="1" applyBorder="1" applyAlignment="1">
      <alignment horizontal="right" vertical="center" shrinkToFit="1"/>
    </xf>
    <xf numFmtId="178" fontId="11" fillId="5" borderId="51" xfId="0" applyNumberFormat="1" applyFont="1" applyFill="1" applyBorder="1" applyAlignment="1">
      <alignment horizontal="right" vertical="center" shrinkToFit="1"/>
    </xf>
    <xf numFmtId="177" fontId="11" fillId="5" borderId="58" xfId="0" applyNumberFormat="1" applyFont="1" applyFill="1" applyBorder="1" applyAlignment="1">
      <alignment horizontal="right" vertical="center" shrinkToFit="1"/>
    </xf>
    <xf numFmtId="177" fontId="11" fillId="5" borderId="60" xfId="0" quotePrefix="1" applyNumberFormat="1" applyFont="1" applyFill="1" applyBorder="1" applyAlignment="1">
      <alignment horizontal="right" vertical="center"/>
    </xf>
    <xf numFmtId="177" fontId="11" fillId="2" borderId="64" xfId="0" applyNumberFormat="1" applyFont="1" applyFill="1" applyBorder="1" applyAlignment="1" applyProtection="1">
      <alignment horizontal="right" vertical="center"/>
      <protection locked="0"/>
    </xf>
    <xf numFmtId="177" fontId="11" fillId="5" borderId="33" xfId="0" applyNumberFormat="1" applyFont="1" applyFill="1" applyBorder="1" applyAlignment="1">
      <alignment horizontal="right" vertical="center"/>
    </xf>
    <xf numFmtId="0" fontId="9" fillId="0" borderId="14" xfId="0" applyFont="1" applyBorder="1" applyAlignment="1">
      <alignment horizontal="center" vertical="center" wrapText="1" shrinkToFit="1"/>
    </xf>
    <xf numFmtId="177" fontId="11" fillId="81" borderId="75" xfId="0" applyNumberFormat="1" applyFont="1" applyFill="1" applyBorder="1">
      <alignment vertical="center"/>
    </xf>
    <xf numFmtId="177" fontId="11" fillId="81" borderId="71" xfId="0" applyNumberFormat="1" applyFont="1" applyFill="1" applyBorder="1" applyAlignment="1">
      <alignment horizontal="right" vertical="center"/>
    </xf>
    <xf numFmtId="177" fontId="11" fillId="81" borderId="75" xfId="0" applyNumberFormat="1" applyFont="1" applyFill="1" applyBorder="1" applyAlignment="1">
      <alignment horizontal="right" vertical="center"/>
    </xf>
    <xf numFmtId="177" fontId="11" fillId="81" borderId="72" xfId="0" applyNumberFormat="1" applyFont="1" applyFill="1" applyBorder="1" applyAlignment="1">
      <alignment horizontal="right" vertical="center"/>
    </xf>
    <xf numFmtId="177" fontId="11" fillId="81" borderId="75" xfId="0" applyNumberFormat="1" applyFont="1" applyFill="1" applyBorder="1" applyAlignment="1" applyProtection="1">
      <alignment horizontal="right" vertical="center"/>
      <protection locked="0"/>
    </xf>
    <xf numFmtId="177" fontId="11" fillId="81" borderId="71" xfId="0" applyNumberFormat="1" applyFont="1" applyFill="1" applyBorder="1" applyAlignment="1" applyProtection="1">
      <alignment horizontal="right" vertical="center"/>
      <protection locked="0"/>
    </xf>
    <xf numFmtId="177" fontId="11" fillId="81" borderId="72" xfId="0" applyNumberFormat="1" applyFont="1" applyFill="1" applyBorder="1" applyAlignment="1" applyProtection="1">
      <alignment horizontal="right" vertical="center"/>
      <protection locked="0"/>
    </xf>
    <xf numFmtId="177" fontId="11" fillId="81" borderId="77" xfId="0" applyNumberFormat="1" applyFont="1" applyFill="1" applyBorder="1" applyAlignment="1" applyProtection="1">
      <alignment horizontal="right" vertical="center"/>
      <protection locked="0"/>
    </xf>
    <xf numFmtId="177" fontId="11" fillId="81" borderId="70" xfId="0" applyNumberFormat="1" applyFont="1" applyFill="1" applyBorder="1" applyAlignment="1" applyProtection="1">
      <alignment horizontal="right" vertical="center"/>
      <protection locked="0"/>
    </xf>
    <xf numFmtId="177" fontId="9" fillId="0" borderId="57" xfId="0" applyNumberFormat="1" applyFont="1" applyBorder="1" applyAlignment="1">
      <alignment horizontal="right" vertical="center"/>
    </xf>
    <xf numFmtId="177" fontId="11" fillId="81" borderId="77" xfId="0" applyNumberFormat="1" applyFont="1" applyFill="1" applyBorder="1" applyAlignment="1">
      <alignment horizontal="right" vertical="center"/>
    </xf>
    <xf numFmtId="0" fontId="9" fillId="81" borderId="78" xfId="0" applyFont="1" applyFill="1" applyBorder="1" applyAlignment="1">
      <alignment horizontal="center" vertical="center"/>
    </xf>
    <xf numFmtId="177" fontId="11" fillId="81" borderId="71" xfId="0" applyNumberFormat="1" applyFont="1" applyFill="1" applyBorder="1">
      <alignment vertical="center"/>
    </xf>
    <xf numFmtId="177" fontId="11" fillId="81" borderId="75" xfId="0" applyNumberFormat="1" applyFont="1" applyFill="1" applyBorder="1" applyProtection="1">
      <alignment vertical="center"/>
      <protection locked="0"/>
    </xf>
    <xf numFmtId="177" fontId="11" fillId="81" borderId="71" xfId="0" applyNumberFormat="1" applyFont="1" applyFill="1" applyBorder="1" applyProtection="1">
      <alignment vertical="center"/>
      <protection locked="0"/>
    </xf>
    <xf numFmtId="177" fontId="11" fillId="81" borderId="75" xfId="0" applyNumberFormat="1" applyFont="1" applyFill="1" applyBorder="1" applyAlignment="1">
      <alignment vertical="center" shrinkToFit="1"/>
    </xf>
    <xf numFmtId="177" fontId="11" fillId="81" borderId="71" xfId="0" applyNumberFormat="1" applyFont="1" applyFill="1" applyBorder="1" applyAlignment="1">
      <alignment horizontal="right" vertical="center" shrinkToFit="1"/>
    </xf>
    <xf numFmtId="177" fontId="11" fillId="81" borderId="71" xfId="0" applyNumberFormat="1" applyFont="1" applyFill="1" applyBorder="1" applyAlignment="1">
      <alignment vertical="center" shrinkToFit="1"/>
    </xf>
    <xf numFmtId="177" fontId="11" fillId="81" borderId="72" xfId="0" applyNumberFormat="1" applyFont="1" applyFill="1" applyBorder="1" applyAlignment="1">
      <alignment horizontal="right" vertical="center" shrinkToFit="1"/>
    </xf>
    <xf numFmtId="177" fontId="11" fillId="81" borderId="77" xfId="0" applyNumberFormat="1" applyFont="1" applyFill="1" applyBorder="1" applyAlignment="1">
      <alignment horizontal="right" vertical="center" shrinkToFit="1"/>
    </xf>
    <xf numFmtId="177" fontId="11" fillId="81" borderId="80" xfId="0" applyNumberFormat="1" applyFont="1" applyFill="1" applyBorder="1" applyAlignment="1">
      <alignment vertical="center" shrinkToFit="1"/>
    </xf>
    <xf numFmtId="177" fontId="11" fillId="81" borderId="81" xfId="0" applyNumberFormat="1" applyFont="1" applyFill="1" applyBorder="1" applyAlignment="1">
      <alignment horizontal="right" vertical="center"/>
    </xf>
    <xf numFmtId="177" fontId="11" fillId="81" borderId="81" xfId="0" applyNumberFormat="1" applyFont="1" applyFill="1" applyBorder="1" applyAlignment="1" applyProtection="1">
      <alignment horizontal="right" vertical="center"/>
      <protection locked="0"/>
    </xf>
    <xf numFmtId="178" fontId="11" fillId="81" borderId="72" xfId="0" applyNumberFormat="1" applyFont="1" applyFill="1" applyBorder="1" applyAlignment="1" applyProtection="1">
      <alignment horizontal="right" vertical="center"/>
      <protection locked="0"/>
    </xf>
    <xf numFmtId="177" fontId="11" fillId="81" borderId="83" xfId="0" applyNumberFormat="1" applyFont="1" applyFill="1" applyBorder="1" applyAlignment="1" applyProtection="1">
      <alignment horizontal="right" vertical="center"/>
      <protection locked="0"/>
    </xf>
    <xf numFmtId="177" fontId="11" fillId="5" borderId="84" xfId="0" applyNumberFormat="1" applyFont="1" applyFill="1" applyBorder="1" applyAlignment="1">
      <alignment horizontal="right" vertical="center" wrapText="1"/>
    </xf>
    <xf numFmtId="178" fontId="11" fillId="5" borderId="84" xfId="0" applyNumberFormat="1" applyFont="1" applyFill="1" applyBorder="1" applyAlignment="1">
      <alignment horizontal="right" vertical="center" wrapText="1"/>
    </xf>
    <xf numFmtId="177" fontId="9" fillId="5" borderId="84" xfId="0" applyNumberFormat="1" applyFont="1" applyFill="1" applyBorder="1" applyAlignment="1">
      <alignment horizontal="right" vertical="center" wrapText="1"/>
    </xf>
    <xf numFmtId="177" fontId="11" fillId="5" borderId="88" xfId="0" applyNumberFormat="1" applyFont="1" applyFill="1" applyBorder="1" applyAlignment="1">
      <alignment horizontal="right" vertical="center" wrapText="1"/>
    </xf>
    <xf numFmtId="178" fontId="11" fillId="5" borderId="86" xfId="0" applyNumberFormat="1" applyFont="1" applyFill="1" applyBorder="1" applyAlignment="1">
      <alignment horizontal="right" vertical="center" wrapText="1"/>
    </xf>
    <xf numFmtId="178" fontId="11" fillId="5" borderId="91" xfId="0" applyNumberFormat="1" applyFont="1" applyFill="1" applyBorder="1" applyAlignment="1">
      <alignment horizontal="right" vertical="center" wrapText="1"/>
    </xf>
    <xf numFmtId="178" fontId="11" fillId="5" borderId="4" xfId="0" applyNumberFormat="1" applyFont="1" applyFill="1" applyBorder="1" applyAlignment="1">
      <alignment horizontal="right" vertical="center" wrapText="1"/>
    </xf>
    <xf numFmtId="177" fontId="11" fillId="81" borderId="72" xfId="0" applyNumberFormat="1" applyFont="1" applyFill="1" applyBorder="1" applyAlignment="1">
      <alignment horizontal="center" vertical="center"/>
    </xf>
    <xf numFmtId="0" fontId="9" fillId="0" borderId="32" xfId="0" applyFont="1" applyBorder="1" applyAlignment="1">
      <alignment horizontal="center" vertical="center"/>
    </xf>
    <xf numFmtId="177" fontId="11" fillId="5" borderId="51" xfId="0" applyNumberFormat="1" applyFont="1" applyFill="1" applyBorder="1">
      <alignment vertical="center"/>
    </xf>
    <xf numFmtId="178" fontId="11" fillId="2" borderId="68" xfId="0" applyNumberFormat="1" applyFont="1" applyFill="1" applyBorder="1" applyAlignment="1" applyProtection="1">
      <alignment horizontal="right" vertical="center"/>
      <protection locked="0"/>
    </xf>
    <xf numFmtId="0" fontId="11" fillId="80" borderId="47" xfId="0" applyFont="1" applyFill="1" applyBorder="1" applyAlignment="1">
      <alignment horizontal="right" vertical="center" justifyLastLine="1"/>
    </xf>
    <xf numFmtId="38" fontId="11" fillId="80" borderId="53" xfId="110" applyFont="1" applyFill="1" applyBorder="1" applyAlignment="1">
      <alignment vertical="center" justifyLastLine="1"/>
    </xf>
    <xf numFmtId="177" fontId="11" fillId="2" borderId="4" xfId="0" quotePrefix="1" applyNumberFormat="1" applyFont="1" applyFill="1" applyBorder="1" applyAlignment="1">
      <alignment horizontal="right" vertical="center"/>
    </xf>
    <xf numFmtId="0" fontId="0" fillId="2" borderId="0" xfId="0" applyFill="1">
      <alignment vertical="center"/>
    </xf>
    <xf numFmtId="0" fontId="0" fillId="0" borderId="0" xfId="0" applyAlignment="1">
      <alignment horizontal="right" vertical="center"/>
    </xf>
    <xf numFmtId="182" fontId="0" fillId="0" borderId="0" xfId="0" applyNumberFormat="1">
      <alignment vertical="center"/>
    </xf>
    <xf numFmtId="183" fontId="0" fillId="0" borderId="0" xfId="0" applyNumberFormat="1">
      <alignment vertical="center"/>
    </xf>
    <xf numFmtId="0" fontId="0" fillId="0" borderId="0" xfId="0" applyAlignment="1">
      <alignment horizontal="left" vertical="center"/>
    </xf>
    <xf numFmtId="0" fontId="0" fillId="0" borderId="16" xfId="0" applyBorder="1">
      <alignment vertical="center"/>
    </xf>
    <xf numFmtId="0" fontId="0" fillId="0" borderId="0" xfId="0" applyAlignment="1">
      <alignment horizontal="center" vertical="center"/>
    </xf>
    <xf numFmtId="178" fontId="0" fillId="0" borderId="0" xfId="0" applyNumberFormat="1">
      <alignment vertical="center"/>
    </xf>
    <xf numFmtId="177" fontId="0" fillId="0" borderId="0" xfId="0" applyNumberFormat="1">
      <alignment vertical="center"/>
    </xf>
    <xf numFmtId="0" fontId="0" fillId="0" borderId="4" xfId="0" applyBorder="1">
      <alignment vertical="center"/>
    </xf>
    <xf numFmtId="0" fontId="0" fillId="0" borderId="15" xfId="0" applyBorder="1">
      <alignment vertical="center"/>
    </xf>
    <xf numFmtId="178" fontId="0" fillId="0" borderId="0" xfId="0" applyNumberFormat="1" applyAlignment="1">
      <alignment horizontal="right" vertical="center"/>
    </xf>
    <xf numFmtId="177" fontId="0" fillId="5" borderId="4" xfId="0" applyNumberFormat="1" applyFill="1" applyBorder="1" applyAlignment="1">
      <alignment horizontal="right" vertical="center"/>
    </xf>
    <xf numFmtId="186" fontId="0" fillId="0" borderId="0" xfId="0" applyNumberFormat="1">
      <alignment vertical="center"/>
    </xf>
    <xf numFmtId="185" fontId="0" fillId="0" borderId="0" xfId="0" applyNumberFormat="1">
      <alignment vertical="center"/>
    </xf>
    <xf numFmtId="178" fontId="0" fillId="2" borderId="0" xfId="0" applyNumberFormat="1" applyFill="1" applyAlignment="1">
      <alignment horizontal="right" vertical="center"/>
    </xf>
    <xf numFmtId="182" fontId="0" fillId="0" borderId="0" xfId="0" applyNumberFormat="1" applyAlignment="1">
      <alignment horizontal="right" vertical="center"/>
    </xf>
    <xf numFmtId="178" fontId="0" fillId="2" borderId="0" xfId="0" applyNumberFormat="1" applyFill="1">
      <alignment vertical="center"/>
    </xf>
    <xf numFmtId="0" fontId="0" fillId="0" borderId="22" xfId="0" applyBorder="1" applyAlignment="1">
      <alignment horizontal="center" vertical="center"/>
    </xf>
    <xf numFmtId="0" fontId="0" fillId="0" borderId="92" xfId="0" applyBorder="1">
      <alignment vertical="center"/>
    </xf>
    <xf numFmtId="0" fontId="0" fillId="0" borderId="93" xfId="0" applyBorder="1">
      <alignment vertical="center"/>
    </xf>
    <xf numFmtId="0" fontId="0" fillId="2" borderId="0" xfId="0" applyFill="1" applyAlignment="1">
      <alignment horizontal="left" vertical="center"/>
    </xf>
    <xf numFmtId="177" fontId="11" fillId="81" borderId="25" xfId="0" applyNumberFormat="1" applyFont="1" applyFill="1" applyBorder="1" applyAlignment="1">
      <alignment horizontal="right" vertical="center"/>
    </xf>
    <xf numFmtId="177" fontId="11" fillId="82" borderId="4" xfId="0" applyNumberFormat="1" applyFont="1" applyFill="1" applyBorder="1" applyAlignment="1">
      <alignment horizontal="right" vertical="center"/>
    </xf>
    <xf numFmtId="177" fontId="11" fillId="81" borderId="77" xfId="0" applyNumberFormat="1" applyFont="1" applyFill="1" applyBorder="1" applyAlignment="1">
      <alignment vertical="center" shrinkToFit="1"/>
    </xf>
    <xf numFmtId="177" fontId="11" fillId="81" borderId="72" xfId="0" applyNumberFormat="1" applyFont="1" applyFill="1" applyBorder="1" applyAlignment="1">
      <alignment vertical="center" shrinkToFit="1"/>
    </xf>
    <xf numFmtId="177" fontId="11" fillId="81" borderId="83" xfId="0" applyNumberFormat="1" applyFont="1" applyFill="1" applyBorder="1" applyAlignment="1">
      <alignment vertical="center" shrinkToFit="1"/>
    </xf>
    <xf numFmtId="0" fontId="11" fillId="81" borderId="75" xfId="0" applyFont="1" applyFill="1" applyBorder="1" applyAlignment="1">
      <alignment vertical="center" shrinkToFit="1"/>
    </xf>
    <xf numFmtId="38" fontId="11" fillId="81" borderId="72" xfId="110" applyFont="1" applyFill="1" applyBorder="1" applyAlignment="1">
      <alignment vertical="center" shrinkToFit="1"/>
    </xf>
    <xf numFmtId="0" fontId="9" fillId="81" borderId="78" xfId="0" applyFont="1" applyFill="1" applyBorder="1" applyAlignment="1">
      <alignment horizontal="center" vertical="center" shrinkToFit="1"/>
    </xf>
    <xf numFmtId="177" fontId="11" fillId="81" borderId="75" xfId="0" applyNumberFormat="1" applyFont="1" applyFill="1" applyBorder="1" applyAlignment="1">
      <alignment horizontal="right" vertical="center" shrinkToFit="1"/>
    </xf>
    <xf numFmtId="177" fontId="9" fillId="81" borderId="69" xfId="0" applyNumberFormat="1" applyFont="1" applyFill="1" applyBorder="1" applyAlignment="1">
      <alignment horizontal="right" vertical="center" shrinkToFit="1"/>
    </xf>
    <xf numFmtId="177" fontId="11" fillId="81" borderId="83" xfId="0" applyNumberFormat="1" applyFont="1" applyFill="1" applyBorder="1" applyAlignment="1">
      <alignment horizontal="right" vertical="center" shrinkToFit="1"/>
    </xf>
    <xf numFmtId="177" fontId="9" fillId="81" borderId="75" xfId="0" applyNumberFormat="1" applyFont="1" applyFill="1" applyBorder="1" applyAlignment="1">
      <alignment horizontal="right" vertical="center" shrinkToFit="1"/>
    </xf>
    <xf numFmtId="177" fontId="9" fillId="81" borderId="71" xfId="0" applyNumberFormat="1" applyFont="1" applyFill="1" applyBorder="1" applyAlignment="1">
      <alignment horizontal="right" vertical="center" shrinkToFit="1"/>
    </xf>
    <xf numFmtId="177" fontId="11" fillId="81" borderId="70" xfId="0" applyNumberFormat="1" applyFont="1" applyFill="1" applyBorder="1" applyAlignment="1">
      <alignment horizontal="right" vertical="center" shrinkToFit="1"/>
    </xf>
    <xf numFmtId="0" fontId="0" fillId="0" borderId="0" xfId="0" applyAlignment="1">
      <alignment horizontal="right" vertical="center" shrinkToFit="1"/>
    </xf>
    <xf numFmtId="0" fontId="18" fillId="0" borderId="0" xfId="0" applyFont="1" applyAlignment="1">
      <alignment horizontal="left" vertical="center"/>
    </xf>
    <xf numFmtId="49" fontId="18" fillId="0" borderId="0" xfId="0" applyNumberFormat="1" applyFont="1">
      <alignment vertical="center"/>
    </xf>
    <xf numFmtId="0" fontId="0" fillId="0" borderId="0" xfId="0" applyAlignment="1">
      <alignment vertical="center" wrapText="1"/>
    </xf>
    <xf numFmtId="0" fontId="26" fillId="0" borderId="0" xfId="0" applyFont="1" applyAlignment="1">
      <alignment vertical="center" wrapText="1"/>
    </xf>
    <xf numFmtId="55" fontId="39" fillId="2" borderId="0" xfId="0" applyNumberFormat="1" applyFont="1" applyFill="1" applyAlignment="1">
      <alignment horizontal="center" vertical="center"/>
    </xf>
    <xf numFmtId="38" fontId="11" fillId="81" borderId="53" xfId="110" applyFont="1" applyFill="1" applyBorder="1" applyAlignment="1">
      <alignment horizontal="right" vertical="center" justifyLastLine="1"/>
    </xf>
    <xf numFmtId="0" fontId="9" fillId="0" borderId="15" xfId="0" applyFont="1" applyBorder="1" applyAlignment="1">
      <alignment horizontal="center" vertical="center"/>
    </xf>
    <xf numFmtId="0" fontId="6" fillId="0" borderId="0" xfId="0" applyFont="1">
      <alignment vertical="center"/>
    </xf>
    <xf numFmtId="0" fontId="23" fillId="0" borderId="0" xfId="0" applyFont="1" applyAlignment="1">
      <alignment horizontal="center" vertical="center"/>
    </xf>
    <xf numFmtId="0" fontId="9" fillId="0" borderId="15" xfId="0" applyFont="1" applyBorder="1" applyAlignment="1">
      <alignment horizontal="center" vertical="center" wrapText="1"/>
    </xf>
    <xf numFmtId="0" fontId="12" fillId="0" borderId="15" xfId="0" applyFont="1" applyBorder="1" applyAlignment="1">
      <alignment horizontal="right" vertical="center"/>
    </xf>
    <xf numFmtId="0" fontId="9" fillId="0" borderId="0" xfId="0" applyFont="1" applyAlignment="1">
      <alignment horizontal="center" vertical="center" wrapText="1"/>
    </xf>
    <xf numFmtId="0" fontId="12" fillId="0" borderId="0" xfId="0" applyFont="1" applyAlignment="1">
      <alignment horizontal="right" vertical="center"/>
    </xf>
    <xf numFmtId="178" fontId="11" fillId="81" borderId="0" xfId="0" applyNumberFormat="1" applyFont="1" applyFill="1" applyAlignment="1">
      <alignment horizontal="right" vertical="center"/>
    </xf>
    <xf numFmtId="0" fontId="14" fillId="0" borderId="0" xfId="0" applyFont="1">
      <alignment vertical="center"/>
    </xf>
    <xf numFmtId="0" fontId="16" fillId="0" borderId="0" xfId="0" applyFont="1" applyAlignment="1">
      <alignment horizontal="left" vertical="center" shrinkToFit="1"/>
    </xf>
    <xf numFmtId="0" fontId="16" fillId="0" borderId="0" xfId="0" applyFont="1" applyAlignment="1">
      <alignment vertical="center" wrapText="1"/>
    </xf>
    <xf numFmtId="38" fontId="11" fillId="0" borderId="53" xfId="110" applyFont="1" applyFill="1" applyBorder="1" applyAlignment="1">
      <alignment vertical="center" justifyLastLine="1"/>
    </xf>
    <xf numFmtId="0" fontId="9" fillId="0" borderId="0" xfId="0" applyFont="1" applyAlignment="1">
      <alignment horizontal="center" vertical="center"/>
    </xf>
    <xf numFmtId="0" fontId="13" fillId="0" borderId="0" xfId="0" applyFont="1">
      <alignment vertical="center"/>
    </xf>
    <xf numFmtId="0" fontId="16" fillId="0" borderId="0" xfId="0" applyFont="1" applyAlignment="1">
      <alignment horizontal="left" vertical="center" wrapText="1"/>
    </xf>
    <xf numFmtId="0" fontId="16" fillId="0" borderId="0" xfId="0" applyFont="1" applyAlignment="1">
      <alignment horizontal="left" vertical="center"/>
    </xf>
    <xf numFmtId="178" fontId="11" fillId="81" borderId="74" xfId="0" applyNumberFormat="1" applyFont="1" applyFill="1" applyBorder="1" applyAlignment="1">
      <alignment horizontal="right" vertical="center"/>
    </xf>
    <xf numFmtId="58" fontId="4" fillId="0" borderId="0" xfId="0" applyNumberFormat="1" applyFont="1" applyAlignment="1">
      <alignment horizontal="distributed" vertical="center" justifyLastLine="1"/>
    </xf>
    <xf numFmtId="0" fontId="15" fillId="0" borderId="0" xfId="0" applyFont="1" applyAlignment="1">
      <alignment horizontal="center" vertical="center"/>
    </xf>
    <xf numFmtId="0" fontId="56" fillId="0" borderId="0" xfId="0" applyFont="1" applyAlignment="1">
      <alignment horizontal="left" vertical="center"/>
    </xf>
    <xf numFmtId="177" fontId="11" fillId="0" borderId="4" xfId="0" quotePrefix="1" applyNumberFormat="1" applyFont="1" applyBorder="1" applyAlignment="1" applyProtection="1">
      <alignment horizontal="right" vertical="center"/>
      <protection locked="0"/>
    </xf>
    <xf numFmtId="0" fontId="0" fillId="0" borderId="16" xfId="0" applyBorder="1" applyAlignment="1">
      <alignment horizontal="center" vertical="center"/>
    </xf>
    <xf numFmtId="0" fontId="0" fillId="0" borderId="114" xfId="0" applyBorder="1" applyAlignment="1">
      <alignment horizontal="center" vertical="center"/>
    </xf>
    <xf numFmtId="0" fontId="17" fillId="0" borderId="0" xfId="0" applyFont="1" applyAlignment="1">
      <alignment vertical="center" wrapText="1"/>
    </xf>
    <xf numFmtId="177" fontId="11" fillId="81" borderId="73" xfId="0" applyNumberFormat="1" applyFont="1" applyFill="1" applyBorder="1" applyAlignment="1">
      <alignment vertical="center" shrinkToFit="1"/>
    </xf>
    <xf numFmtId="177" fontId="11" fillId="81" borderId="77" xfId="0" applyNumberFormat="1" applyFont="1" applyFill="1" applyBorder="1" applyProtection="1">
      <alignment vertical="center"/>
      <protection locked="0"/>
    </xf>
    <xf numFmtId="177" fontId="11" fillId="81" borderId="69" xfId="0" applyNumberFormat="1" applyFont="1" applyFill="1" applyBorder="1">
      <alignment vertical="center"/>
    </xf>
    <xf numFmtId="0" fontId="9" fillId="0" borderId="27" xfId="0" applyFont="1" applyBorder="1" applyAlignment="1">
      <alignment horizontal="center" vertical="center" shrinkToFit="1"/>
    </xf>
    <xf numFmtId="0" fontId="12" fillId="0" borderId="19" xfId="0" applyFont="1" applyBorder="1" applyAlignment="1">
      <alignment horizontal="right" vertical="center"/>
    </xf>
    <xf numFmtId="0" fontId="13" fillId="2" borderId="0" xfId="0" applyFont="1" applyFill="1" applyAlignment="1">
      <alignment horizontal="center" vertical="center"/>
    </xf>
    <xf numFmtId="0" fontId="0" fillId="2" borderId="0" xfId="0" applyFill="1" applyAlignment="1">
      <alignment horizontal="center" vertical="center"/>
    </xf>
    <xf numFmtId="0" fontId="0" fillId="0" borderId="32" xfId="0" applyBorder="1">
      <alignment vertical="center"/>
    </xf>
    <xf numFmtId="0" fontId="17" fillId="0" borderId="0" xfId="0" applyFont="1" applyAlignment="1">
      <alignment horizontal="left" vertical="center" wrapText="1"/>
    </xf>
    <xf numFmtId="0" fontId="9" fillId="0" borderId="13" xfId="0" applyFont="1" applyBorder="1" applyAlignment="1">
      <alignment horizontal="center" vertical="center"/>
    </xf>
    <xf numFmtId="0" fontId="9" fillId="0" borderId="19" xfId="0" applyFont="1" applyBorder="1" applyAlignment="1">
      <alignment horizontal="center" vertical="center" shrinkToFit="1"/>
    </xf>
    <xf numFmtId="0" fontId="0" fillId="0" borderId="0" xfId="0" applyAlignment="1">
      <alignment vertical="center" shrinkToFit="1"/>
    </xf>
    <xf numFmtId="0" fontId="9" fillId="0" borderId="18"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17" fillId="0" borderId="0" xfId="0" applyFont="1" applyAlignment="1">
      <alignment horizontal="center" vertical="center" wrapText="1"/>
    </xf>
    <xf numFmtId="0" fontId="9" fillId="0" borderId="10" xfId="0" applyFont="1" applyBorder="1" applyAlignment="1">
      <alignment horizontal="center" vertical="center" shrinkToFit="1"/>
    </xf>
    <xf numFmtId="0" fontId="17" fillId="0" borderId="0" xfId="0" applyFont="1" applyAlignment="1">
      <alignment horizontal="center" vertical="center"/>
    </xf>
    <xf numFmtId="0" fontId="9" fillId="0" borderId="48" xfId="0" applyFont="1" applyBorder="1" applyAlignment="1">
      <alignment horizontal="center" vertical="center" shrinkToFit="1"/>
    </xf>
    <xf numFmtId="0" fontId="17" fillId="0" borderId="0" xfId="0" applyFont="1" applyAlignment="1">
      <alignment horizontal="left" vertical="center"/>
    </xf>
    <xf numFmtId="0" fontId="13" fillId="0" borderId="16" xfId="0" applyFont="1" applyBorder="1">
      <alignment vertical="center"/>
    </xf>
    <xf numFmtId="0" fontId="9" fillId="0" borderId="26" xfId="0" applyFont="1" applyBorder="1" applyAlignment="1">
      <alignment horizontal="center" vertical="center" shrinkToFit="1"/>
    </xf>
    <xf numFmtId="0" fontId="11" fillId="0" borderId="0" xfId="0" applyFont="1">
      <alignment vertical="center"/>
    </xf>
    <xf numFmtId="177" fontId="11" fillId="0" borderId="15" xfId="0" applyNumberFormat="1" applyFont="1" applyBorder="1" applyProtection="1">
      <alignment vertical="center"/>
      <protection locked="0"/>
    </xf>
    <xf numFmtId="177" fontId="11" fillId="0" borderId="4" xfId="0" applyNumberFormat="1" applyFont="1" applyBorder="1" applyProtection="1">
      <alignment vertical="center"/>
      <protection locked="0"/>
    </xf>
    <xf numFmtId="178" fontId="11" fillId="0" borderId="4" xfId="0" applyNumberFormat="1" applyFont="1" applyBorder="1" applyProtection="1">
      <alignment vertical="center"/>
      <protection locked="0"/>
    </xf>
    <xf numFmtId="0" fontId="16" fillId="0" borderId="13" xfId="0" applyFont="1" applyBorder="1">
      <alignment vertical="center"/>
    </xf>
    <xf numFmtId="178" fontId="11" fillId="2" borderId="0" xfId="0" applyNumberFormat="1" applyFont="1" applyFill="1">
      <alignment vertical="center"/>
    </xf>
    <xf numFmtId="0" fontId="19" fillId="0" borderId="0" xfId="0" applyFont="1" applyAlignment="1">
      <alignment horizontal="left" vertical="center" wrapText="1"/>
    </xf>
    <xf numFmtId="177" fontId="11" fillId="0" borderId="41" xfId="0" applyNumberFormat="1" applyFont="1" applyBorder="1" applyAlignment="1" applyProtection="1">
      <alignment horizontal="right" vertical="center"/>
      <protection locked="0"/>
    </xf>
    <xf numFmtId="178" fontId="11" fillId="0" borderId="41" xfId="0" applyNumberFormat="1" applyFont="1" applyBorder="1" applyAlignment="1" applyProtection="1">
      <alignment horizontal="right" vertical="center"/>
      <protection locked="0"/>
    </xf>
    <xf numFmtId="178" fontId="11" fillId="0" borderId="42" xfId="0" applyNumberFormat="1" applyFont="1" applyBorder="1" applyAlignment="1" applyProtection="1">
      <alignment horizontal="right" vertical="center"/>
      <protection locked="0"/>
    </xf>
    <xf numFmtId="177" fontId="11" fillId="0" borderId="153" xfId="0" applyNumberFormat="1" applyFont="1" applyBorder="1" applyAlignment="1">
      <alignment horizontal="right" vertical="center"/>
    </xf>
    <xf numFmtId="177" fontId="11" fillId="0" borderId="41" xfId="0" applyNumberFormat="1" applyFont="1" applyBorder="1" applyAlignment="1">
      <alignment horizontal="right" vertical="center"/>
    </xf>
    <xf numFmtId="177" fontId="11" fillId="0" borderId="42" xfId="0" applyNumberFormat="1" applyFont="1" applyBorder="1" applyAlignment="1">
      <alignment horizontal="right" vertical="center"/>
    </xf>
    <xf numFmtId="177" fontId="11" fillId="0" borderId="57" xfId="0" applyNumberFormat="1" applyFont="1" applyBorder="1" applyAlignment="1">
      <alignment horizontal="right" vertical="center"/>
    </xf>
    <xf numFmtId="178" fontId="11" fillId="0" borderId="41" xfId="0" applyNumberFormat="1" applyFont="1" applyBorder="1" applyAlignment="1">
      <alignment horizontal="right" vertical="center"/>
    </xf>
    <xf numFmtId="178" fontId="11" fillId="0" borderId="42" xfId="0" applyNumberFormat="1" applyFont="1" applyBorder="1" applyAlignment="1">
      <alignment horizontal="right" vertical="center"/>
    </xf>
    <xf numFmtId="0" fontId="9" fillId="0" borderId="37" xfId="0" applyFont="1" applyBorder="1" applyAlignment="1">
      <alignment horizontal="center" vertical="center"/>
    </xf>
    <xf numFmtId="177" fontId="11" fillId="0" borderId="16" xfId="0" applyNumberFormat="1" applyFont="1" applyBorder="1" applyAlignment="1">
      <alignment horizontal="right" vertical="center"/>
    </xf>
    <xf numFmtId="177" fontId="11" fillId="0" borderId="152" xfId="0" applyNumberFormat="1" applyFont="1" applyBorder="1" applyAlignment="1">
      <alignment horizontal="right" vertical="center"/>
    </xf>
    <xf numFmtId="177" fontId="9" fillId="0" borderId="153" xfId="0" applyNumberFormat="1" applyFont="1" applyBorder="1" applyAlignment="1">
      <alignment horizontal="right" vertical="center"/>
    </xf>
    <xf numFmtId="178" fontId="11" fillId="0" borderId="152" xfId="0" applyNumberFormat="1" applyFont="1" applyBorder="1" applyAlignment="1">
      <alignment horizontal="right" vertical="center"/>
    </xf>
    <xf numFmtId="178" fontId="11" fillId="0" borderId="16" xfId="0" applyNumberFormat="1" applyFont="1" applyBorder="1" applyAlignment="1">
      <alignment horizontal="right" vertical="center"/>
    </xf>
    <xf numFmtId="177" fontId="11" fillId="0" borderId="45" xfId="0" applyNumberFormat="1" applyFont="1" applyBorder="1" applyAlignment="1">
      <alignment horizontal="right" vertical="center"/>
    </xf>
    <xf numFmtId="178" fontId="11" fillId="0" borderId="51" xfId="0" applyNumberFormat="1" applyFont="1" applyBorder="1" applyAlignment="1">
      <alignment horizontal="right" vertical="center"/>
    </xf>
    <xf numFmtId="0" fontId="17" fillId="0" borderId="13" xfId="0" applyFont="1" applyBorder="1" applyAlignment="1">
      <alignment horizontal="left" vertical="center"/>
    </xf>
    <xf numFmtId="177" fontId="11" fillId="0" borderId="13" xfId="0" applyNumberFormat="1" applyFont="1" applyBorder="1" applyAlignment="1">
      <alignment horizontal="right" vertical="center"/>
    </xf>
    <xf numFmtId="177" fontId="11" fillId="0" borderId="13" xfId="0" applyNumberFormat="1" applyFont="1" applyBorder="1" applyAlignment="1">
      <alignment horizontal="center" vertical="center"/>
    </xf>
    <xf numFmtId="186" fontId="11" fillId="0" borderId="13" xfId="0" applyNumberFormat="1" applyFont="1" applyBorder="1" applyAlignment="1">
      <alignment horizontal="right" vertical="center"/>
    </xf>
    <xf numFmtId="178" fontId="11" fillId="0" borderId="13" xfId="0" applyNumberFormat="1" applyFont="1" applyBorder="1" applyAlignment="1">
      <alignment horizontal="right" vertical="center"/>
    </xf>
    <xf numFmtId="177" fontId="11" fillId="0" borderId="15" xfId="0" applyNumberFormat="1" applyFont="1" applyBorder="1">
      <alignment vertical="center"/>
    </xf>
    <xf numFmtId="178" fontId="11" fillId="0" borderId="4" xfId="0" applyNumberFormat="1" applyFont="1" applyBorder="1">
      <alignment vertical="center"/>
    </xf>
    <xf numFmtId="177" fontId="11" fillId="0" borderId="4" xfId="0" applyNumberFormat="1" applyFont="1" applyBorder="1">
      <alignment vertical="center"/>
    </xf>
    <xf numFmtId="177" fontId="11" fillId="0" borderId="47" xfId="0" applyNumberFormat="1" applyFont="1" applyBorder="1">
      <alignment vertical="center"/>
    </xf>
    <xf numFmtId="177" fontId="11" fillId="0" borderId="0" xfId="0" applyNumberFormat="1" applyFont="1" applyProtection="1">
      <alignment vertical="center"/>
      <protection locked="0"/>
    </xf>
    <xf numFmtId="177" fontId="11" fillId="0" borderId="15" xfId="0" applyNumberFormat="1" applyFont="1" applyBorder="1" applyAlignment="1">
      <alignment vertical="center" shrinkToFit="1"/>
    </xf>
    <xf numFmtId="178" fontId="11" fillId="0" borderId="4" xfId="0" applyNumberFormat="1" applyFont="1" applyBorder="1" applyAlignment="1">
      <alignment vertical="center" shrinkToFit="1"/>
    </xf>
    <xf numFmtId="177" fontId="11" fillId="0" borderId="4" xfId="0" applyNumberFormat="1" applyFont="1" applyBorder="1" applyAlignment="1">
      <alignment vertical="center" shrinkToFit="1"/>
    </xf>
    <xf numFmtId="178" fontId="11" fillId="0" borderId="0" xfId="0" applyNumberFormat="1" applyFont="1" applyAlignment="1">
      <alignment vertical="center" shrinkToFit="1"/>
    </xf>
    <xf numFmtId="178" fontId="11" fillId="0" borderId="13" xfId="0" applyNumberFormat="1" applyFont="1" applyBorder="1">
      <alignment vertical="center"/>
    </xf>
    <xf numFmtId="177" fontId="11" fillId="0" borderId="13" xfId="0" applyNumberFormat="1" applyFont="1" applyBorder="1">
      <alignment vertical="center"/>
    </xf>
    <xf numFmtId="177" fontId="11" fillId="0" borderId="13" xfId="0" applyNumberFormat="1" applyFont="1" applyBorder="1" applyAlignment="1" applyProtection="1">
      <alignment horizontal="right" vertical="center"/>
      <protection locked="0"/>
    </xf>
    <xf numFmtId="178" fontId="11" fillId="0" borderId="13" xfId="0" applyNumberFormat="1" applyFont="1" applyBorder="1" applyAlignment="1" applyProtection="1">
      <alignment horizontal="right" vertical="center"/>
      <protection locked="0"/>
    </xf>
    <xf numFmtId="177" fontId="11" fillId="0" borderId="13" xfId="0" applyNumberFormat="1" applyFont="1" applyBorder="1" applyProtection="1">
      <alignment vertical="center"/>
      <protection locked="0"/>
    </xf>
    <xf numFmtId="178" fontId="11" fillId="0" borderId="13" xfId="0" applyNumberFormat="1" applyFont="1" applyBorder="1" applyProtection="1">
      <alignment vertical="center"/>
      <protection locked="0"/>
    </xf>
    <xf numFmtId="177" fontId="11" fillId="0" borderId="13" xfId="0" applyNumberFormat="1" applyFont="1" applyBorder="1" applyAlignment="1">
      <alignment horizontal="right" vertical="center" shrinkToFit="1"/>
    </xf>
    <xf numFmtId="178" fontId="11" fillId="0" borderId="13" xfId="0" applyNumberFormat="1" applyFont="1" applyBorder="1" applyAlignment="1">
      <alignment horizontal="right" vertical="center" shrinkToFit="1"/>
    </xf>
    <xf numFmtId="177" fontId="11" fillId="0" borderId="13" xfId="0" applyNumberFormat="1" applyFont="1" applyBorder="1" applyAlignment="1">
      <alignment vertical="center" shrinkToFit="1"/>
    </xf>
    <xf numFmtId="178" fontId="11" fillId="0" borderId="13" xfId="0" applyNumberFormat="1" applyFont="1" applyBorder="1" applyAlignment="1">
      <alignment vertical="center" shrinkToFit="1"/>
    </xf>
    <xf numFmtId="49" fontId="11" fillId="0" borderId="13" xfId="0" applyNumberFormat="1" applyFont="1" applyBorder="1" applyAlignment="1">
      <alignment horizontal="right" vertical="center"/>
    </xf>
    <xf numFmtId="38" fontId="11" fillId="0" borderId="13" xfId="110" applyFont="1" applyBorder="1" applyAlignment="1">
      <alignment horizontal="right" vertical="center"/>
    </xf>
    <xf numFmtId="0" fontId="0" fillId="0" borderId="13" xfId="0" applyBorder="1">
      <alignment vertical="center"/>
    </xf>
    <xf numFmtId="178" fontId="11" fillId="0" borderId="0" xfId="0" applyNumberFormat="1" applyFont="1" applyProtection="1">
      <alignment vertical="center"/>
      <protection locked="0"/>
    </xf>
    <xf numFmtId="177" fontId="11" fillId="0" borderId="41" xfId="0" applyNumberFormat="1" applyFont="1" applyBorder="1" applyProtection="1">
      <alignment vertical="center"/>
      <protection locked="0"/>
    </xf>
    <xf numFmtId="38" fontId="11" fillId="5" borderId="53" xfId="110" applyFont="1" applyFill="1" applyBorder="1" applyAlignment="1">
      <alignment horizontal="right" vertical="center"/>
    </xf>
    <xf numFmtId="38" fontId="11" fillId="5" borderId="4" xfId="110" applyFont="1" applyFill="1" applyBorder="1" applyAlignment="1">
      <alignment horizontal="right" vertical="center"/>
    </xf>
    <xf numFmtId="179" fontId="11" fillId="0" borderId="4" xfId="0" applyNumberFormat="1" applyFont="1" applyBorder="1" applyAlignment="1">
      <alignment horizontal="right" vertical="center"/>
    </xf>
    <xf numFmtId="179" fontId="11" fillId="2" borderId="4" xfId="0" applyNumberFormat="1" applyFont="1" applyFill="1" applyBorder="1" applyAlignment="1">
      <alignment horizontal="right" vertical="center"/>
    </xf>
    <xf numFmtId="179" fontId="11" fillId="5" borderId="4" xfId="0" applyNumberFormat="1" applyFont="1" applyFill="1" applyBorder="1" applyAlignment="1">
      <alignment horizontal="right" vertical="center"/>
    </xf>
    <xf numFmtId="179" fontId="11" fillId="81" borderId="4" xfId="0" applyNumberFormat="1" applyFont="1" applyFill="1" applyBorder="1" applyAlignment="1">
      <alignment horizontal="right" vertical="center"/>
    </xf>
    <xf numFmtId="178" fontId="11" fillId="81" borderId="71" xfId="0" applyNumberFormat="1" applyFont="1" applyFill="1" applyBorder="1" applyAlignment="1">
      <alignment vertical="center" shrinkToFit="1"/>
    </xf>
    <xf numFmtId="55" fontId="38" fillId="2" borderId="0" xfId="0" quotePrefix="1" applyNumberFormat="1" applyFont="1" applyFill="1" applyAlignment="1">
      <alignment horizontal="center"/>
    </xf>
    <xf numFmtId="0" fontId="0" fillId="0" borderId="6" xfId="0" applyBorder="1">
      <alignment vertical="center"/>
    </xf>
    <xf numFmtId="0" fontId="9" fillId="0" borderId="11" xfId="0" applyFont="1" applyBorder="1" applyAlignment="1">
      <alignment horizontal="center" vertical="center" shrinkToFit="1"/>
    </xf>
    <xf numFmtId="0" fontId="9" fillId="0" borderId="52" xfId="0" applyFont="1" applyBorder="1" applyAlignment="1">
      <alignment horizontal="center" vertical="center" shrinkToFit="1"/>
    </xf>
    <xf numFmtId="0" fontId="73" fillId="0" borderId="97" xfId="0" applyFont="1" applyBorder="1" applyAlignment="1">
      <alignment vertical="top" wrapText="1"/>
    </xf>
    <xf numFmtId="0" fontId="73" fillId="80" borderId="97" xfId="0" applyFont="1" applyFill="1" applyBorder="1" applyAlignment="1">
      <alignment vertical="top" wrapText="1"/>
    </xf>
    <xf numFmtId="0" fontId="73" fillId="2" borderId="107" xfId="0" applyFont="1" applyFill="1" applyBorder="1" applyAlignment="1">
      <alignment vertical="top" wrapText="1"/>
    </xf>
    <xf numFmtId="0" fontId="73" fillId="0" borderId="101" xfId="0" applyFont="1" applyBorder="1" applyAlignment="1">
      <alignment vertical="top" wrapText="1"/>
    </xf>
    <xf numFmtId="0" fontId="76" fillId="0" borderId="13" xfId="0" applyFont="1" applyBorder="1">
      <alignment vertical="center"/>
    </xf>
    <xf numFmtId="0" fontId="75" fillId="0" borderId="17" xfId="0" applyFont="1" applyBorder="1">
      <alignment vertical="center"/>
    </xf>
    <xf numFmtId="0" fontId="79" fillId="0" borderId="49" xfId="0" applyFont="1" applyBorder="1" applyAlignment="1">
      <alignment horizontal="right" vertical="center"/>
    </xf>
    <xf numFmtId="0" fontId="80" fillId="0" borderId="5" xfId="136" applyFont="1" applyBorder="1" applyAlignment="1">
      <alignment horizontal="center" vertical="center" wrapText="1"/>
    </xf>
    <xf numFmtId="0" fontId="79" fillId="2" borderId="35" xfId="0" applyFont="1" applyFill="1" applyBorder="1" applyAlignment="1">
      <alignment horizontal="right" vertical="center"/>
    </xf>
    <xf numFmtId="0" fontId="76" fillId="0" borderId="6" xfId="0" applyFont="1" applyBorder="1" applyAlignment="1">
      <alignment horizontal="center" vertical="center"/>
    </xf>
    <xf numFmtId="0" fontId="80" fillId="0" borderId="5" xfId="0" applyFont="1" applyBorder="1" applyAlignment="1">
      <alignment horizontal="center" vertical="center" wrapText="1"/>
    </xf>
    <xf numFmtId="0" fontId="79" fillId="0" borderId="34" xfId="0" applyFont="1" applyBorder="1" applyAlignment="1">
      <alignment horizontal="right" vertical="center"/>
    </xf>
    <xf numFmtId="0" fontId="79" fillId="0" borderId="50" xfId="0" applyFont="1" applyBorder="1" applyAlignment="1">
      <alignment horizontal="right" vertical="center"/>
    </xf>
    <xf numFmtId="177" fontId="83" fillId="2" borderId="47" xfId="0" applyNumberFormat="1" applyFont="1" applyFill="1" applyBorder="1" applyAlignment="1" applyProtection="1">
      <alignment horizontal="right" vertical="center"/>
      <protection locked="0"/>
    </xf>
    <xf numFmtId="177" fontId="83" fillId="2" borderId="51" xfId="0" applyNumberFormat="1" applyFont="1" applyFill="1" applyBorder="1" applyAlignment="1" applyProtection="1">
      <alignment horizontal="right" vertical="center"/>
      <protection locked="0"/>
    </xf>
    <xf numFmtId="178" fontId="83" fillId="2" borderId="4" xfId="0" applyNumberFormat="1" applyFont="1" applyFill="1" applyBorder="1" applyAlignment="1" applyProtection="1">
      <alignment horizontal="right" vertical="center"/>
      <protection locked="0"/>
    </xf>
    <xf numFmtId="177" fontId="83" fillId="2" borderId="4" xfId="0" applyNumberFormat="1" applyFont="1" applyFill="1" applyBorder="1" applyAlignment="1" applyProtection="1">
      <alignment horizontal="right" vertical="center"/>
      <protection locked="0"/>
    </xf>
    <xf numFmtId="178" fontId="83" fillId="2" borderId="0" xfId="0" applyNumberFormat="1" applyFont="1" applyFill="1" applyAlignment="1" applyProtection="1">
      <alignment horizontal="right" vertical="center"/>
      <protection locked="0"/>
    </xf>
    <xf numFmtId="178" fontId="83" fillId="2" borderId="51" xfId="0" applyNumberFormat="1" applyFont="1" applyFill="1" applyBorder="1" applyAlignment="1" applyProtection="1">
      <alignment horizontal="right" vertical="center"/>
      <protection locked="0"/>
    </xf>
    <xf numFmtId="177" fontId="83" fillId="2" borderId="47" xfId="0" applyNumberFormat="1" applyFont="1" applyFill="1" applyBorder="1" applyAlignment="1">
      <alignment horizontal="right" vertical="center"/>
    </xf>
    <xf numFmtId="177" fontId="83" fillId="0" borderId="47" xfId="0" applyNumberFormat="1" applyFont="1" applyBorder="1" applyAlignment="1" applyProtection="1">
      <alignment horizontal="right" vertical="center"/>
      <protection locked="0"/>
    </xf>
    <xf numFmtId="177" fontId="83" fillId="0" borderId="51" xfId="0" applyNumberFormat="1" applyFont="1" applyBorder="1" applyAlignment="1" applyProtection="1">
      <alignment horizontal="right" vertical="center"/>
      <protection locked="0"/>
    </xf>
    <xf numFmtId="178" fontId="83" fillId="0" borderId="4" xfId="0" applyNumberFormat="1" applyFont="1" applyBorder="1" applyAlignment="1" applyProtection="1">
      <alignment horizontal="right" vertical="center"/>
      <protection locked="0"/>
    </xf>
    <xf numFmtId="177" fontId="83" fillId="0" borderId="4" xfId="0" applyNumberFormat="1" applyFont="1" applyBorder="1" applyAlignment="1" applyProtection="1">
      <alignment horizontal="right" vertical="center"/>
      <protection locked="0"/>
    </xf>
    <xf numFmtId="178" fontId="83" fillId="0" borderId="51" xfId="0" applyNumberFormat="1" applyFont="1" applyBorder="1" applyAlignment="1" applyProtection="1">
      <alignment horizontal="right" vertical="center"/>
      <protection locked="0"/>
    </xf>
    <xf numFmtId="177" fontId="83" fillId="0" borderId="47" xfId="0" applyNumberFormat="1" applyFont="1" applyBorder="1" applyAlignment="1">
      <alignment horizontal="right" vertical="center"/>
    </xf>
    <xf numFmtId="177" fontId="84" fillId="0" borderId="15" xfId="0" applyNumberFormat="1" applyFont="1" applyBorder="1" applyAlignment="1" applyProtection="1">
      <alignment horizontal="right" vertical="center"/>
      <protection locked="0"/>
    </xf>
    <xf numFmtId="177" fontId="84" fillId="0" borderId="4" xfId="0" applyNumberFormat="1" applyFont="1" applyBorder="1" applyAlignment="1" applyProtection="1">
      <alignment horizontal="right" vertical="center"/>
      <protection locked="0"/>
    </xf>
    <xf numFmtId="178" fontId="84" fillId="0" borderId="4" xfId="0" applyNumberFormat="1" applyFont="1" applyBorder="1" applyAlignment="1" applyProtection="1">
      <alignment horizontal="right" vertical="center"/>
      <protection locked="0"/>
    </xf>
    <xf numFmtId="180" fontId="84" fillId="0" borderId="53" xfId="0" applyNumberFormat="1" applyFont="1" applyBorder="1" applyAlignment="1" applyProtection="1">
      <alignment horizontal="right" vertical="center"/>
      <protection locked="0"/>
    </xf>
    <xf numFmtId="180" fontId="84" fillId="0" borderId="47" xfId="0" applyNumberFormat="1" applyFont="1" applyBorder="1" applyAlignment="1" applyProtection="1">
      <alignment horizontal="right" vertical="center"/>
      <protection locked="0"/>
    </xf>
    <xf numFmtId="178" fontId="84" fillId="0" borderId="0" xfId="0" applyNumberFormat="1" applyFont="1" applyAlignment="1" applyProtection="1">
      <alignment horizontal="right" vertical="center"/>
      <protection locked="0"/>
    </xf>
    <xf numFmtId="189" fontId="84" fillId="0" borderId="15" xfId="0" applyNumberFormat="1" applyFont="1" applyBorder="1" applyAlignment="1" applyProtection="1">
      <alignment horizontal="right" vertical="center"/>
      <protection locked="0"/>
    </xf>
    <xf numFmtId="177" fontId="84" fillId="0" borderId="47" xfId="0" applyNumberFormat="1" applyFont="1" applyBorder="1" applyAlignment="1">
      <alignment horizontal="right" vertical="center"/>
    </xf>
    <xf numFmtId="177" fontId="86" fillId="0" borderId="47" xfId="0" applyNumberFormat="1" applyFont="1" applyBorder="1" applyAlignment="1" applyProtection="1">
      <alignment vertical="center" shrinkToFit="1"/>
      <protection locked="0"/>
    </xf>
    <xf numFmtId="178" fontId="86" fillId="0" borderId="51" xfId="0" applyNumberFormat="1" applyFont="1" applyBorder="1" applyAlignment="1" applyProtection="1">
      <alignment horizontal="right" vertical="center" shrinkToFit="1"/>
      <protection locked="0"/>
    </xf>
    <xf numFmtId="177" fontId="86" fillId="0" borderId="4" xfId="0" applyNumberFormat="1" applyFont="1" applyBorder="1" applyAlignment="1" applyProtection="1">
      <alignment horizontal="right" vertical="center" shrinkToFit="1"/>
      <protection locked="0"/>
    </xf>
    <xf numFmtId="178" fontId="86" fillId="0" borderId="4" xfId="0" applyNumberFormat="1" applyFont="1" applyBorder="1" applyAlignment="1" applyProtection="1">
      <alignment horizontal="right" vertical="center" shrinkToFit="1"/>
      <protection locked="0"/>
    </xf>
    <xf numFmtId="177" fontId="86" fillId="81" borderId="47" xfId="0" applyNumberFormat="1" applyFont="1" applyFill="1" applyBorder="1" applyProtection="1">
      <alignment vertical="center"/>
      <protection locked="0"/>
    </xf>
    <xf numFmtId="178" fontId="86" fillId="81" borderId="51" xfId="0" applyNumberFormat="1" applyFont="1" applyFill="1" applyBorder="1" applyAlignment="1" applyProtection="1">
      <alignment horizontal="right" vertical="center"/>
      <protection locked="0"/>
    </xf>
    <xf numFmtId="177" fontId="86" fillId="81" borderId="4" xfId="0" applyNumberFormat="1" applyFont="1" applyFill="1" applyBorder="1" applyAlignment="1" applyProtection="1">
      <alignment horizontal="right" vertical="center"/>
      <protection locked="0"/>
    </xf>
    <xf numFmtId="178" fontId="86" fillId="81" borderId="4" xfId="0" applyNumberFormat="1" applyFont="1" applyFill="1" applyBorder="1" applyAlignment="1" applyProtection="1">
      <alignment horizontal="right" vertical="center"/>
      <protection locked="0"/>
    </xf>
    <xf numFmtId="0" fontId="6" fillId="83" borderId="0" xfId="0" applyFont="1" applyFill="1">
      <alignment vertical="center"/>
    </xf>
    <xf numFmtId="177" fontId="87" fillId="2" borderId="47" xfId="0" applyNumberFormat="1" applyFont="1" applyFill="1" applyBorder="1" applyAlignment="1">
      <alignment horizontal="right" vertical="center"/>
    </xf>
    <xf numFmtId="177" fontId="76" fillId="81" borderId="47" xfId="0" applyNumberFormat="1" applyFont="1" applyFill="1" applyBorder="1" applyAlignment="1">
      <alignment horizontal="right" vertical="center"/>
    </xf>
    <xf numFmtId="177" fontId="76" fillId="2" borderId="47" xfId="0" applyNumberFormat="1" applyFont="1" applyFill="1" applyBorder="1" applyAlignment="1">
      <alignment horizontal="right" vertical="center"/>
    </xf>
    <xf numFmtId="177" fontId="87" fillId="0" borderId="47" xfId="0" applyNumberFormat="1" applyFont="1" applyBorder="1" applyAlignment="1">
      <alignment horizontal="right" vertical="center"/>
    </xf>
    <xf numFmtId="177" fontId="87" fillId="0" borderId="4" xfId="0" applyNumberFormat="1" applyFont="1" applyBorder="1" applyAlignment="1">
      <alignment horizontal="right" vertical="center"/>
    </xf>
    <xf numFmtId="177" fontId="83" fillId="2" borderId="4" xfId="0" applyNumberFormat="1" applyFont="1" applyFill="1" applyBorder="1" applyAlignment="1">
      <alignment horizontal="right" vertical="center"/>
    </xf>
    <xf numFmtId="177" fontId="83" fillId="2" borderId="15" xfId="0" applyNumberFormat="1" applyFont="1" applyFill="1" applyBorder="1" applyAlignment="1">
      <alignment horizontal="right" vertical="center"/>
    </xf>
    <xf numFmtId="177" fontId="83" fillId="0" borderId="0" xfId="0" applyNumberFormat="1" applyFont="1" applyAlignment="1">
      <alignment horizontal="right" vertical="center"/>
    </xf>
    <xf numFmtId="178" fontId="83" fillId="2" borderId="4" xfId="0" applyNumberFormat="1" applyFont="1" applyFill="1" applyBorder="1" applyAlignment="1">
      <alignment horizontal="right" vertical="center"/>
    </xf>
    <xf numFmtId="177" fontId="83" fillId="0" borderId="15" xfId="0" applyNumberFormat="1" applyFont="1" applyBorder="1" applyAlignment="1">
      <alignment horizontal="right" vertical="center"/>
    </xf>
    <xf numFmtId="178" fontId="83" fillId="2" borderId="53" xfId="0" applyNumberFormat="1" applyFont="1" applyFill="1" applyBorder="1" applyAlignment="1" applyProtection="1">
      <alignment horizontal="right" vertical="center"/>
      <protection locked="0"/>
    </xf>
    <xf numFmtId="177" fontId="83" fillId="2" borderId="0" xfId="0" applyNumberFormat="1" applyFont="1" applyFill="1" applyAlignment="1" applyProtection="1">
      <alignment horizontal="right" vertical="center"/>
      <protection locked="0"/>
    </xf>
    <xf numFmtId="177" fontId="86" fillId="0" borderId="47" xfId="0" applyNumberFormat="1" applyFont="1" applyBorder="1" applyAlignment="1" applyProtection="1">
      <alignment horizontal="right" vertical="center" shrinkToFit="1"/>
      <protection locked="0"/>
    </xf>
    <xf numFmtId="177" fontId="86" fillId="0" borderId="32" xfId="0" applyNumberFormat="1" applyFont="1" applyBorder="1" applyAlignment="1">
      <alignment horizontal="right" vertical="center"/>
    </xf>
    <xf numFmtId="177" fontId="86" fillId="0" borderId="47" xfId="0" applyNumberFormat="1" applyFont="1" applyBorder="1" applyAlignment="1">
      <alignment horizontal="right" vertical="center" shrinkToFit="1"/>
    </xf>
    <xf numFmtId="177" fontId="86" fillId="0" borderId="4" xfId="0" applyNumberFormat="1" applyFont="1" applyBorder="1" applyAlignment="1">
      <alignment horizontal="right" vertical="center" shrinkToFit="1"/>
    </xf>
    <xf numFmtId="177" fontId="86" fillId="0" borderId="15" xfId="0" applyNumberFormat="1" applyFont="1" applyBorder="1" applyAlignment="1">
      <alignment horizontal="right" vertical="center" shrinkToFit="1"/>
    </xf>
    <xf numFmtId="177" fontId="86" fillId="0" borderId="0" xfId="0" applyNumberFormat="1" applyFont="1" applyAlignment="1">
      <alignment horizontal="right" vertical="center"/>
    </xf>
    <xf numFmtId="178" fontId="86" fillId="0" borderId="4" xfId="0" applyNumberFormat="1" applyFont="1" applyBorder="1" applyAlignment="1">
      <alignment horizontal="right" vertical="center" shrinkToFit="1"/>
    </xf>
    <xf numFmtId="177" fontId="86" fillId="0" borderId="15" xfId="0" applyNumberFormat="1" applyFont="1" applyBorder="1" applyAlignment="1">
      <alignment horizontal="right" vertical="center"/>
    </xf>
    <xf numFmtId="178" fontId="86" fillId="0" borderId="53" xfId="0" applyNumberFormat="1" applyFont="1" applyBorder="1" applyAlignment="1" applyProtection="1">
      <alignment horizontal="right" vertical="center" shrinkToFit="1"/>
      <protection locked="0"/>
    </xf>
    <xf numFmtId="178" fontId="86" fillId="0" borderId="15" xfId="0" applyNumberFormat="1" applyFont="1" applyBorder="1" applyAlignment="1" applyProtection="1">
      <alignment horizontal="right" vertical="center"/>
      <protection locked="0"/>
    </xf>
    <xf numFmtId="177" fontId="86" fillId="0" borderId="0" xfId="0" applyNumberFormat="1" applyFont="1" applyAlignment="1" applyProtection="1">
      <alignment horizontal="right" vertical="center" shrinkToFit="1"/>
      <protection locked="0"/>
    </xf>
    <xf numFmtId="177" fontId="86" fillId="0" borderId="51" xfId="0" applyNumberFormat="1" applyFont="1" applyBorder="1" applyAlignment="1" applyProtection="1">
      <alignment horizontal="right" vertical="center" shrinkToFit="1"/>
      <protection locked="0"/>
    </xf>
    <xf numFmtId="177" fontId="86" fillId="0" borderId="53" xfId="0" applyNumberFormat="1" applyFont="1" applyBorder="1" applyAlignment="1" applyProtection="1">
      <alignment horizontal="right" vertical="center" shrinkToFit="1"/>
      <protection locked="0"/>
    </xf>
    <xf numFmtId="177" fontId="86" fillId="0" borderId="0" xfId="0" applyNumberFormat="1" applyFont="1" applyAlignment="1" applyProtection="1">
      <alignment horizontal="right" vertical="center"/>
      <protection locked="0"/>
    </xf>
    <xf numFmtId="183" fontId="86" fillId="0" borderId="51" xfId="0" applyNumberFormat="1" applyFont="1" applyBorder="1" applyAlignment="1" applyProtection="1">
      <alignment horizontal="right" vertical="center" shrinkToFit="1"/>
      <protection locked="0"/>
    </xf>
    <xf numFmtId="177" fontId="86" fillId="0" borderId="32" xfId="0" applyNumberFormat="1" applyFont="1" applyBorder="1" applyAlignment="1" applyProtection="1">
      <alignment horizontal="right" vertical="center" shrinkToFit="1"/>
      <protection locked="0"/>
    </xf>
    <xf numFmtId="177" fontId="86" fillId="81" borderId="47" xfId="0" applyNumberFormat="1" applyFont="1" applyFill="1" applyBorder="1" applyAlignment="1" applyProtection="1">
      <alignment horizontal="right" vertical="center"/>
      <protection locked="0"/>
    </xf>
    <xf numFmtId="177" fontId="86" fillId="81" borderId="47" xfId="0" applyNumberFormat="1" applyFont="1" applyFill="1" applyBorder="1" applyAlignment="1">
      <alignment horizontal="right" vertical="center"/>
    </xf>
    <xf numFmtId="177" fontId="86" fillId="81" borderId="4" xfId="0" applyNumberFormat="1" applyFont="1" applyFill="1" applyBorder="1" applyAlignment="1">
      <alignment horizontal="right" vertical="center"/>
    </xf>
    <xf numFmtId="177" fontId="86" fillId="81" borderId="15" xfId="0" applyNumberFormat="1" applyFont="1" applyFill="1" applyBorder="1" applyAlignment="1">
      <alignment horizontal="right" vertical="center"/>
    </xf>
    <xf numFmtId="178" fontId="86" fillId="81" borderId="4" xfId="0" applyNumberFormat="1" applyFont="1" applyFill="1" applyBorder="1" applyAlignment="1">
      <alignment horizontal="right" vertical="center"/>
    </xf>
    <xf numFmtId="178" fontId="86" fillId="81" borderId="53" xfId="0" applyNumberFormat="1" applyFont="1" applyFill="1" applyBorder="1" applyAlignment="1" applyProtection="1">
      <alignment horizontal="right" vertical="center"/>
      <protection locked="0"/>
    </xf>
    <xf numFmtId="177" fontId="86" fillId="81" borderId="53" xfId="0" applyNumberFormat="1" applyFont="1" applyFill="1" applyBorder="1" applyAlignment="1" applyProtection="1">
      <alignment horizontal="right" vertical="center"/>
      <protection locked="0"/>
    </xf>
    <xf numFmtId="183" fontId="86" fillId="81" borderId="51" xfId="0" applyNumberFormat="1" applyFont="1" applyFill="1" applyBorder="1" applyAlignment="1" applyProtection="1">
      <alignment horizontal="right" vertical="center"/>
      <protection locked="0"/>
    </xf>
    <xf numFmtId="177" fontId="86" fillId="81" borderId="51" xfId="0" applyNumberFormat="1" applyFont="1" applyFill="1" applyBorder="1" applyAlignment="1" applyProtection="1">
      <alignment horizontal="right" vertical="center"/>
      <protection locked="0"/>
    </xf>
    <xf numFmtId="177" fontId="86" fillId="81" borderId="32" xfId="0" applyNumberFormat="1" applyFont="1" applyFill="1" applyBorder="1" applyAlignment="1" applyProtection="1">
      <alignment horizontal="right" vertical="center"/>
      <protection locked="0"/>
    </xf>
    <xf numFmtId="177" fontId="86" fillId="0" borderId="47" xfId="0" applyNumberFormat="1" applyFont="1" applyBorder="1" applyAlignment="1" applyProtection="1">
      <alignment horizontal="right" vertical="center"/>
      <protection locked="0"/>
    </xf>
    <xf numFmtId="177" fontId="86" fillId="0" borderId="4" xfId="0" applyNumberFormat="1" applyFont="1" applyBorder="1" applyAlignment="1" applyProtection="1">
      <alignment horizontal="right" vertical="center"/>
      <protection locked="0"/>
    </xf>
    <xf numFmtId="177" fontId="83" fillId="0" borderId="4" xfId="0" applyNumberFormat="1" applyFont="1" applyBorder="1" applyAlignment="1">
      <alignment horizontal="right" vertical="center"/>
    </xf>
    <xf numFmtId="178" fontId="83" fillId="0" borderId="4" xfId="0" applyNumberFormat="1" applyFont="1" applyBorder="1" applyAlignment="1">
      <alignment horizontal="right" vertical="center"/>
    </xf>
    <xf numFmtId="177" fontId="83" fillId="0" borderId="51" xfId="0" applyNumberFormat="1" applyFont="1" applyBorder="1" applyAlignment="1">
      <alignment horizontal="right" vertical="center"/>
    </xf>
    <xf numFmtId="177" fontId="83" fillId="2" borderId="53" xfId="136" applyNumberFormat="1" applyFont="1" applyFill="1" applyBorder="1" applyAlignment="1">
      <alignment horizontal="right" vertical="center"/>
    </xf>
    <xf numFmtId="179" fontId="83" fillId="2" borderId="4" xfId="136" applyNumberFormat="1" applyFont="1" applyFill="1" applyBorder="1" applyAlignment="1">
      <alignment horizontal="right" vertical="center"/>
    </xf>
    <xf numFmtId="177" fontId="86" fillId="0" borderId="4" xfId="136" applyNumberFormat="1" applyFont="1" applyBorder="1">
      <alignment vertical="center"/>
    </xf>
    <xf numFmtId="3" fontId="86" fillId="0" borderId="4" xfId="136" applyNumberFormat="1" applyFont="1" applyBorder="1" applyAlignment="1">
      <alignment horizontal="right" vertical="center"/>
    </xf>
    <xf numFmtId="177" fontId="86" fillId="0" borderId="53" xfId="136" applyNumberFormat="1" applyFont="1" applyBorder="1" applyAlignment="1">
      <alignment horizontal="right" vertical="center"/>
    </xf>
    <xf numFmtId="179" fontId="86" fillId="0" borderId="4" xfId="136" applyNumberFormat="1" applyFont="1" applyBorder="1" applyAlignment="1">
      <alignment horizontal="right" vertical="center"/>
    </xf>
    <xf numFmtId="177" fontId="86" fillId="0" borderId="47" xfId="136" applyNumberFormat="1" applyFont="1" applyBorder="1">
      <alignment vertical="center"/>
    </xf>
    <xf numFmtId="177" fontId="86" fillId="0" borderId="47" xfId="136" applyNumberFormat="1" applyFont="1" applyBorder="1" applyAlignment="1">
      <alignment horizontal="right" vertical="center" shrinkToFit="1"/>
    </xf>
    <xf numFmtId="177" fontId="86" fillId="5" borderId="47" xfId="0" applyNumberFormat="1" applyFont="1" applyFill="1" applyBorder="1" applyAlignment="1">
      <alignment horizontal="right" vertical="center"/>
    </xf>
    <xf numFmtId="177" fontId="86" fillId="5" borderId="4" xfId="0" applyNumberFormat="1" applyFont="1" applyFill="1" applyBorder="1" applyAlignment="1">
      <alignment horizontal="right" vertical="center"/>
    </xf>
    <xf numFmtId="177" fontId="86" fillId="5" borderId="4" xfId="136" applyNumberFormat="1" applyFont="1" applyFill="1" applyBorder="1" applyAlignment="1">
      <alignment horizontal="right" vertical="center"/>
    </xf>
    <xf numFmtId="178" fontId="86" fillId="5" borderId="4" xfId="136" applyNumberFormat="1" applyFont="1" applyFill="1" applyBorder="1" applyAlignment="1">
      <alignment horizontal="right" vertical="center"/>
    </xf>
    <xf numFmtId="177" fontId="86" fillId="5" borderId="53" xfId="136" applyNumberFormat="1" applyFont="1" applyFill="1" applyBorder="1" applyAlignment="1">
      <alignment horizontal="right" vertical="center"/>
    </xf>
    <xf numFmtId="177" fontId="86" fillId="5" borderId="47" xfId="136" applyNumberFormat="1" applyFont="1" applyFill="1" applyBorder="1" applyAlignment="1">
      <alignment horizontal="right" vertical="center"/>
    </xf>
    <xf numFmtId="179" fontId="86" fillId="5" borderId="4" xfId="136" applyNumberFormat="1" applyFont="1" applyFill="1" applyBorder="1" applyAlignment="1">
      <alignment horizontal="right" vertical="center"/>
    </xf>
    <xf numFmtId="177" fontId="86" fillId="81" borderId="47" xfId="136" applyNumberFormat="1" applyFont="1" applyFill="1" applyBorder="1" applyAlignment="1">
      <alignment horizontal="right" vertical="center"/>
    </xf>
    <xf numFmtId="178" fontId="86" fillId="81" borderId="4" xfId="136" applyNumberFormat="1" applyFont="1" applyFill="1" applyBorder="1" applyAlignment="1">
      <alignment horizontal="right" vertical="center"/>
    </xf>
    <xf numFmtId="177" fontId="86" fillId="81" borderId="4" xfId="136" applyNumberFormat="1" applyFont="1" applyFill="1" applyBorder="1" applyAlignment="1">
      <alignment horizontal="right" vertical="center"/>
    </xf>
    <xf numFmtId="177" fontId="86" fillId="5" borderId="47" xfId="0" applyNumberFormat="1" applyFont="1" applyFill="1" applyBorder="1" applyAlignment="1" applyProtection="1">
      <alignment horizontal="right" vertical="center"/>
      <protection locked="0"/>
    </xf>
    <xf numFmtId="177" fontId="86" fillId="0" borderId="47" xfId="136" applyNumberFormat="1" applyFont="1" applyBorder="1" applyAlignment="1">
      <alignment horizontal="right" vertical="center"/>
    </xf>
    <xf numFmtId="178" fontId="86" fillId="0" borderId="4" xfId="136" applyNumberFormat="1" applyFont="1" applyBorder="1" applyAlignment="1">
      <alignment horizontal="right" vertical="center"/>
    </xf>
    <xf numFmtId="177" fontId="86" fillId="0" borderId="4" xfId="136" applyNumberFormat="1" applyFont="1" applyBorder="1" applyAlignment="1">
      <alignment horizontal="right" vertical="center"/>
    </xf>
    <xf numFmtId="177" fontId="83" fillId="0" borderId="53" xfId="136" applyNumberFormat="1" applyFont="1" applyBorder="1" applyAlignment="1">
      <alignment horizontal="right" vertical="center"/>
    </xf>
    <xf numFmtId="179" fontId="83" fillId="0" borderId="4" xfId="136" applyNumberFormat="1" applyFont="1" applyBorder="1" applyAlignment="1">
      <alignment horizontal="right" vertical="center"/>
    </xf>
    <xf numFmtId="177" fontId="83" fillId="0" borderId="47" xfId="136" applyNumberFormat="1" applyFont="1" applyBorder="1" applyAlignment="1">
      <alignment horizontal="right" vertical="center" shrinkToFit="1"/>
    </xf>
    <xf numFmtId="0" fontId="40" fillId="0" borderId="0" xfId="0" applyFont="1" applyAlignment="1">
      <alignment horizontal="right" vertical="center"/>
    </xf>
    <xf numFmtId="177" fontId="86" fillId="2" borderId="47" xfId="136" applyNumberFormat="1" applyFont="1" applyFill="1" applyBorder="1" applyAlignment="1">
      <alignment horizontal="right" vertical="center"/>
    </xf>
    <xf numFmtId="177" fontId="86" fillId="2" borderId="4" xfId="136" applyNumberFormat="1" applyFont="1" applyFill="1" applyBorder="1" applyAlignment="1">
      <alignment horizontal="right" vertical="center"/>
    </xf>
    <xf numFmtId="178" fontId="86" fillId="2" borderId="4" xfId="136" applyNumberFormat="1" applyFont="1" applyFill="1" applyBorder="1" applyAlignment="1">
      <alignment horizontal="right" vertical="center"/>
    </xf>
    <xf numFmtId="177" fontId="86" fillId="2" borderId="53" xfId="136" applyNumberFormat="1" applyFont="1" applyFill="1" applyBorder="1" applyAlignment="1">
      <alignment horizontal="right" vertical="center"/>
    </xf>
    <xf numFmtId="177" fontId="11" fillId="81" borderId="0" xfId="0" applyNumberFormat="1" applyFont="1" applyFill="1" applyAlignment="1">
      <alignment horizontal="right" vertical="center"/>
    </xf>
    <xf numFmtId="177" fontId="84" fillId="2" borderId="15" xfId="0" applyNumberFormat="1" applyFont="1" applyFill="1" applyBorder="1" applyAlignment="1">
      <alignment horizontal="right" vertical="center"/>
    </xf>
    <xf numFmtId="177" fontId="84" fillId="2" borderId="4" xfId="0" applyNumberFormat="1" applyFont="1" applyFill="1" applyBorder="1" applyAlignment="1">
      <alignment horizontal="right" vertical="center"/>
    </xf>
    <xf numFmtId="177" fontId="84" fillId="0" borderId="4" xfId="0" applyNumberFormat="1" applyFont="1" applyBorder="1" applyAlignment="1">
      <alignment horizontal="right" vertical="center"/>
    </xf>
    <xf numFmtId="178" fontId="84" fillId="0" borderId="4" xfId="0" applyNumberFormat="1" applyFont="1" applyBorder="1" applyAlignment="1">
      <alignment horizontal="right" vertical="center"/>
    </xf>
    <xf numFmtId="178" fontId="84" fillId="2" borderId="4" xfId="0" applyNumberFormat="1" applyFont="1" applyFill="1" applyBorder="1" applyAlignment="1">
      <alignment horizontal="right" vertical="center"/>
    </xf>
    <xf numFmtId="177" fontId="84" fillId="2" borderId="47" xfId="0" applyNumberFormat="1" applyFont="1" applyFill="1" applyBorder="1" applyAlignment="1">
      <alignment horizontal="right" vertical="center"/>
    </xf>
    <xf numFmtId="179" fontId="84" fillId="2" borderId="4" xfId="136" applyNumberFormat="1" applyFont="1" applyFill="1" applyBorder="1" applyAlignment="1">
      <alignment horizontal="right" vertical="center"/>
    </xf>
    <xf numFmtId="177" fontId="83" fillId="2" borderId="51" xfId="0" applyNumberFormat="1" applyFont="1" applyFill="1" applyBorder="1" applyAlignment="1">
      <alignment horizontal="right" vertical="center"/>
    </xf>
    <xf numFmtId="177" fontId="87" fillId="2" borderId="51" xfId="0" applyNumberFormat="1" applyFont="1" applyFill="1" applyBorder="1" applyAlignment="1">
      <alignment horizontal="right" vertical="center"/>
    </xf>
    <xf numFmtId="0" fontId="83" fillId="2" borderId="47" xfId="0" applyFont="1" applyFill="1" applyBorder="1" applyAlignment="1">
      <alignment horizontal="right" vertical="center" justifyLastLine="1"/>
    </xf>
    <xf numFmtId="38" fontId="83" fillId="2" borderId="53" xfId="110" applyFont="1" applyFill="1" applyBorder="1" applyAlignment="1">
      <alignment vertical="center" justifyLastLine="1"/>
    </xf>
    <xf numFmtId="186" fontId="83" fillId="2" borderId="4" xfId="0" applyNumberFormat="1" applyFont="1" applyFill="1" applyBorder="1" applyAlignment="1">
      <alignment horizontal="right" vertical="center"/>
    </xf>
    <xf numFmtId="178" fontId="83" fillId="80" borderId="4" xfId="136" applyNumberFormat="1" applyFont="1" applyFill="1" applyBorder="1" applyAlignment="1">
      <alignment horizontal="right" vertical="center"/>
    </xf>
    <xf numFmtId="177" fontId="83" fillId="2" borderId="4" xfId="0" applyNumberFormat="1" applyFont="1" applyFill="1" applyBorder="1" applyAlignment="1">
      <alignment horizontal="right" vertical="center" shrinkToFit="1"/>
    </xf>
    <xf numFmtId="177" fontId="83" fillId="2" borderId="47" xfId="136" applyNumberFormat="1" applyFont="1" applyFill="1" applyBorder="1" applyAlignment="1">
      <alignment horizontal="right" vertical="center" shrinkToFit="1"/>
    </xf>
    <xf numFmtId="178" fontId="83" fillId="2" borderId="4" xfId="0" applyNumberFormat="1" applyFont="1" applyFill="1" applyBorder="1" applyAlignment="1">
      <alignment horizontal="right" vertical="center" shrinkToFit="1"/>
    </xf>
    <xf numFmtId="178" fontId="83" fillId="2" borderId="74" xfId="0" applyNumberFormat="1" applyFont="1" applyFill="1" applyBorder="1" applyAlignment="1">
      <alignment horizontal="right" vertical="center"/>
    </xf>
    <xf numFmtId="177" fontId="83" fillId="2" borderId="58" xfId="0" applyNumberFormat="1" applyFont="1" applyFill="1" applyBorder="1" applyAlignment="1">
      <alignment horizontal="right" vertical="center"/>
    </xf>
    <xf numFmtId="177" fontId="83" fillId="2" borderId="58" xfId="0" applyNumberFormat="1" applyFont="1" applyFill="1" applyBorder="1" applyAlignment="1" applyProtection="1">
      <alignment horizontal="right" vertical="center"/>
      <protection locked="0"/>
    </xf>
    <xf numFmtId="178" fontId="83" fillId="0" borderId="58" xfId="0" applyNumberFormat="1" applyFont="1" applyBorder="1" applyAlignment="1" applyProtection="1">
      <alignment horizontal="right" vertical="center"/>
      <protection locked="0"/>
    </xf>
    <xf numFmtId="177" fontId="11" fillId="81" borderId="4" xfId="0" applyNumberFormat="1" applyFont="1" applyFill="1" applyBorder="1" applyAlignment="1">
      <alignment horizontal="center" vertical="center"/>
    </xf>
    <xf numFmtId="177" fontId="86" fillId="0" borderId="51" xfId="0" applyNumberFormat="1" applyFont="1" applyBorder="1" applyAlignment="1">
      <alignment horizontal="right" vertical="center" shrinkToFit="1"/>
    </xf>
    <xf numFmtId="178" fontId="86" fillId="0" borderId="0" xfId="0" applyNumberFormat="1" applyFont="1" applyAlignment="1">
      <alignment horizontal="right" vertical="center"/>
    </xf>
    <xf numFmtId="177" fontId="86" fillId="0" borderId="47" xfId="0" applyNumberFormat="1" applyFont="1" applyBorder="1">
      <alignment vertical="center"/>
    </xf>
    <xf numFmtId="177" fontId="86" fillId="0" borderId="53" xfId="0" applyNumberFormat="1" applyFont="1" applyBorder="1" applyAlignment="1">
      <alignment horizontal="right" vertical="center" shrinkToFit="1"/>
    </xf>
    <xf numFmtId="179" fontId="86" fillId="0" borderId="4" xfId="0" applyNumberFormat="1" applyFont="1" applyBorder="1" applyAlignment="1">
      <alignment horizontal="right" vertical="center" shrinkToFit="1"/>
    </xf>
    <xf numFmtId="0" fontId="86" fillId="0" borderId="47" xfId="0" applyFont="1" applyBorder="1" applyAlignment="1">
      <alignment horizontal="right" vertical="center" shrinkToFit="1"/>
    </xf>
    <xf numFmtId="38" fontId="86" fillId="0" borderId="53" xfId="110" applyFont="1" applyFill="1" applyBorder="1" applyAlignment="1">
      <alignment vertical="center" shrinkToFit="1"/>
    </xf>
    <xf numFmtId="177" fontId="86" fillId="0" borderId="47" xfId="0" applyNumberFormat="1" applyFont="1" applyBorder="1" applyAlignment="1">
      <alignment horizontal="right" vertical="center"/>
    </xf>
    <xf numFmtId="177" fontId="86" fillId="0" borderId="4" xfId="0" applyNumberFormat="1" applyFont="1" applyBorder="1" applyAlignment="1">
      <alignment horizontal="right" vertical="center"/>
    </xf>
    <xf numFmtId="186" fontId="86" fillId="0" borderId="4" xfId="0" applyNumberFormat="1" applyFont="1" applyBorder="1" applyAlignment="1">
      <alignment horizontal="right" vertical="center"/>
    </xf>
    <xf numFmtId="178" fontId="86" fillId="0" borderId="4" xfId="0" applyNumberFormat="1" applyFont="1" applyBorder="1" applyAlignment="1">
      <alignment horizontal="right" vertical="center"/>
    </xf>
    <xf numFmtId="178" fontId="86" fillId="0" borderId="47" xfId="0" applyNumberFormat="1" applyFont="1" applyBorder="1" applyAlignment="1">
      <alignment horizontal="right" vertical="center"/>
    </xf>
    <xf numFmtId="178" fontId="86" fillId="0" borderId="51" xfId="0" applyNumberFormat="1" applyFont="1" applyBorder="1" applyAlignment="1">
      <alignment horizontal="right" vertical="center"/>
    </xf>
    <xf numFmtId="177" fontId="86" fillId="0" borderId="51" xfId="0" applyNumberFormat="1" applyFont="1" applyBorder="1" applyAlignment="1">
      <alignment horizontal="right" vertical="center"/>
    </xf>
    <xf numFmtId="178" fontId="86" fillId="0" borderId="4" xfId="0" applyNumberFormat="1" applyFont="1" applyBorder="1" applyAlignment="1" applyProtection="1">
      <alignment horizontal="right" vertical="center"/>
      <protection locked="0"/>
    </xf>
    <xf numFmtId="177" fontId="86" fillId="0" borderId="51" xfId="0" applyNumberFormat="1" applyFont="1" applyBorder="1" applyAlignment="1" applyProtection="1">
      <alignment horizontal="right" vertical="center"/>
      <protection locked="0"/>
    </xf>
    <xf numFmtId="38" fontId="76" fillId="0" borderId="4" xfId="110" applyFont="1" applyFill="1" applyBorder="1" applyAlignment="1">
      <alignment horizontal="right" vertical="center"/>
    </xf>
    <xf numFmtId="177" fontId="86" fillId="0" borderId="58" xfId="0" applyNumberFormat="1" applyFont="1" applyBorder="1" applyAlignment="1">
      <alignment horizontal="right" vertical="center"/>
    </xf>
    <xf numFmtId="178" fontId="86" fillId="0" borderId="51" xfId="0" applyNumberFormat="1" applyFont="1" applyBorder="1" applyAlignment="1" applyProtection="1">
      <alignment horizontal="right" vertical="center"/>
      <protection locked="0"/>
    </xf>
    <xf numFmtId="177" fontId="86" fillId="0" borderId="58" xfId="0" applyNumberFormat="1" applyFont="1" applyBorder="1" applyAlignment="1" applyProtection="1">
      <alignment horizontal="right" vertical="center"/>
      <protection locked="0"/>
    </xf>
    <xf numFmtId="177" fontId="86" fillId="81" borderId="51" xfId="0" applyNumberFormat="1" applyFont="1" applyFill="1" applyBorder="1" applyAlignment="1">
      <alignment horizontal="right" vertical="center"/>
    </xf>
    <xf numFmtId="177" fontId="86" fillId="81" borderId="53" xfId="0" applyNumberFormat="1" applyFont="1" applyFill="1" applyBorder="1" applyAlignment="1">
      <alignment horizontal="right" vertical="center"/>
    </xf>
    <xf numFmtId="0" fontId="86" fillId="81" borderId="47" xfId="0" applyFont="1" applyFill="1" applyBorder="1" applyAlignment="1">
      <alignment horizontal="right" vertical="center" justifyLastLine="1"/>
    </xf>
    <xf numFmtId="38" fontId="86" fillId="81" borderId="53" xfId="110" applyFont="1" applyFill="1" applyBorder="1" applyAlignment="1">
      <alignment vertical="center" justifyLastLine="1"/>
    </xf>
    <xf numFmtId="186" fontId="86" fillId="81" borderId="4" xfId="0" applyNumberFormat="1" applyFont="1" applyFill="1" applyBorder="1" applyAlignment="1">
      <alignment horizontal="right" vertical="center"/>
    </xf>
    <xf numFmtId="178" fontId="86" fillId="81" borderId="47" xfId="0" applyNumberFormat="1" applyFont="1" applyFill="1" applyBorder="1" applyAlignment="1">
      <alignment horizontal="right" vertical="center"/>
    </xf>
    <xf numFmtId="178" fontId="86" fillId="5" borderId="4" xfId="0" applyNumberFormat="1" applyFont="1" applyFill="1" applyBorder="1" applyAlignment="1">
      <alignment horizontal="right" vertical="center"/>
    </xf>
    <xf numFmtId="177" fontId="86" fillId="5" borderId="4" xfId="0" applyNumberFormat="1" applyFont="1" applyFill="1" applyBorder="1" applyAlignment="1" applyProtection="1">
      <alignment horizontal="right" vertical="center"/>
      <protection locked="0"/>
    </xf>
    <xf numFmtId="178" fontId="86" fillId="5" borderId="4" xfId="0" applyNumberFormat="1" applyFont="1" applyFill="1" applyBorder="1" applyAlignment="1" applyProtection="1">
      <alignment horizontal="right" vertical="center"/>
      <protection locked="0"/>
    </xf>
    <xf numFmtId="177" fontId="86" fillId="5" borderId="51" xfId="0" applyNumberFormat="1" applyFont="1" applyFill="1" applyBorder="1" applyAlignment="1" applyProtection="1">
      <alignment horizontal="right" vertical="center"/>
      <protection locked="0"/>
    </xf>
    <xf numFmtId="177" fontId="86" fillId="5" borderId="4" xfId="0" applyNumberFormat="1" applyFont="1" applyFill="1" applyBorder="1" applyAlignment="1">
      <alignment horizontal="right" vertical="center" shrinkToFit="1"/>
    </xf>
    <xf numFmtId="177" fontId="86" fillId="5" borderId="47" xfId="0" applyNumberFormat="1" applyFont="1" applyFill="1" applyBorder="1" applyAlignment="1">
      <alignment horizontal="right" vertical="center" shrinkToFit="1"/>
    </xf>
    <xf numFmtId="178" fontId="86" fillId="5" borderId="4" xfId="0" applyNumberFormat="1" applyFont="1" applyFill="1" applyBorder="1" applyAlignment="1">
      <alignment horizontal="right" vertical="center" shrinkToFit="1"/>
    </xf>
    <xf numFmtId="177" fontId="86" fillId="5" borderId="51" xfId="0" applyNumberFormat="1" applyFont="1" applyFill="1" applyBorder="1" applyAlignment="1">
      <alignment horizontal="right" vertical="center" shrinkToFit="1"/>
    </xf>
    <xf numFmtId="178" fontId="86" fillId="5" borderId="74" xfId="0" applyNumberFormat="1" applyFont="1" applyFill="1" applyBorder="1" applyAlignment="1">
      <alignment horizontal="right" vertical="center"/>
    </xf>
    <xf numFmtId="177" fontId="86" fillId="5" borderId="51" xfId="0" applyNumberFormat="1" applyFont="1" applyFill="1" applyBorder="1" applyAlignment="1">
      <alignment horizontal="right" vertical="center"/>
    </xf>
    <xf numFmtId="49" fontId="86" fillId="81" borderId="4" xfId="0" applyNumberFormat="1" applyFont="1" applyFill="1" applyBorder="1" applyAlignment="1">
      <alignment horizontal="right" vertical="center"/>
    </xf>
    <xf numFmtId="177" fontId="86" fillId="81" borderId="58" xfId="0" applyNumberFormat="1" applyFont="1" applyFill="1" applyBorder="1" applyAlignment="1">
      <alignment horizontal="right" vertical="center"/>
    </xf>
    <xf numFmtId="178" fontId="86" fillId="5" borderId="51" xfId="0" applyNumberFormat="1" applyFont="1" applyFill="1" applyBorder="1" applyAlignment="1" applyProtection="1">
      <alignment horizontal="right" vertical="center"/>
      <protection locked="0"/>
    </xf>
    <xf numFmtId="177" fontId="86" fillId="5" borderId="22" xfId="0" applyNumberFormat="1" applyFont="1" applyFill="1" applyBorder="1" applyAlignment="1" applyProtection="1">
      <alignment horizontal="right" vertical="center"/>
      <protection locked="0"/>
    </xf>
    <xf numFmtId="178" fontId="86" fillId="5" borderId="58" xfId="0" applyNumberFormat="1" applyFont="1" applyFill="1" applyBorder="1" applyAlignment="1" applyProtection="1">
      <alignment horizontal="right" vertical="center"/>
      <protection locked="0"/>
    </xf>
    <xf numFmtId="177" fontId="86" fillId="81" borderId="154" xfId="0" applyNumberFormat="1" applyFont="1" applyFill="1" applyBorder="1" applyAlignment="1">
      <alignment horizontal="right" vertical="center"/>
    </xf>
    <xf numFmtId="177" fontId="86" fillId="81" borderId="155" xfId="0" applyNumberFormat="1" applyFont="1" applyFill="1" applyBorder="1" applyAlignment="1">
      <alignment horizontal="right" vertical="center"/>
    </xf>
    <xf numFmtId="0" fontId="11" fillId="0" borderId="47" xfId="0" applyFont="1" applyBorder="1" applyAlignment="1">
      <alignment horizontal="right" vertical="center"/>
    </xf>
    <xf numFmtId="38" fontId="11" fillId="0" borderId="53" xfId="110" applyFont="1" applyFill="1" applyBorder="1">
      <alignment vertical="center"/>
    </xf>
    <xf numFmtId="177" fontId="11" fillId="81" borderId="90" xfId="0" applyNumberFormat="1" applyFont="1" applyFill="1" applyBorder="1" applyAlignment="1">
      <alignment horizontal="right" vertical="center" wrapText="1"/>
    </xf>
    <xf numFmtId="177" fontId="11" fillId="81" borderId="4" xfId="0" quotePrefix="1" applyNumberFormat="1" applyFont="1" applyFill="1" applyBorder="1" applyAlignment="1">
      <alignment horizontal="right" vertical="center"/>
    </xf>
    <xf numFmtId="178" fontId="11" fillId="81" borderId="4" xfId="0" quotePrefix="1" applyNumberFormat="1" applyFont="1" applyFill="1" applyBorder="1" applyAlignment="1">
      <alignment horizontal="right" vertical="center"/>
    </xf>
    <xf numFmtId="177" fontId="11" fillId="0" borderId="47" xfId="0" quotePrefix="1" applyNumberFormat="1" applyFont="1" applyBorder="1" applyAlignment="1">
      <alignment horizontal="right" vertical="center"/>
    </xf>
    <xf numFmtId="38" fontId="11" fillId="0" borderId="53" xfId="110" applyFont="1" applyFill="1" applyBorder="1" applyAlignment="1">
      <alignment vertical="center"/>
    </xf>
    <xf numFmtId="178" fontId="11" fillId="84" borderId="51" xfId="0" applyNumberFormat="1" applyFont="1" applyFill="1" applyBorder="1" applyAlignment="1" applyProtection="1">
      <alignment horizontal="right" vertical="center"/>
      <protection locked="0"/>
    </xf>
    <xf numFmtId="177" fontId="87" fillId="0" borderId="47" xfId="0" applyNumberFormat="1" applyFont="1" applyBorder="1" applyAlignment="1">
      <alignment horizontal="right" vertical="center" shrinkToFit="1"/>
    </xf>
    <xf numFmtId="177" fontId="87" fillId="0" borderId="51" xfId="0" applyNumberFormat="1" applyFont="1" applyBorder="1" applyAlignment="1">
      <alignment horizontal="right" vertical="center"/>
    </xf>
    <xf numFmtId="38" fontId="83" fillId="0" borderId="53" xfId="110" applyFont="1" applyFill="1" applyBorder="1" applyAlignment="1">
      <alignment vertical="center" justifyLastLine="1"/>
    </xf>
    <xf numFmtId="177" fontId="83" fillId="0" borderId="4" xfId="0" quotePrefix="1" applyNumberFormat="1" applyFont="1" applyBorder="1" applyAlignment="1">
      <alignment horizontal="right" vertical="center"/>
    </xf>
    <xf numFmtId="186" fontId="83" fillId="0" borderId="4" xfId="0" applyNumberFormat="1" applyFont="1" applyBorder="1" applyAlignment="1">
      <alignment horizontal="right" vertical="center"/>
    </xf>
    <xf numFmtId="178" fontId="83" fillId="0" borderId="47" xfId="0" applyNumberFormat="1" applyFont="1" applyBorder="1" applyAlignment="1">
      <alignment horizontal="right" vertical="center"/>
    </xf>
    <xf numFmtId="178" fontId="83" fillId="0" borderId="4" xfId="0" quotePrefix="1" applyNumberFormat="1" applyFont="1" applyBorder="1" applyAlignment="1">
      <alignment horizontal="right" vertical="center"/>
    </xf>
    <xf numFmtId="177" fontId="83" fillId="0" borderId="4" xfId="0" applyNumberFormat="1" applyFont="1" applyBorder="1" applyAlignment="1">
      <alignment horizontal="right" vertical="center" shrinkToFit="1"/>
    </xf>
    <xf numFmtId="178" fontId="83" fillId="0" borderId="4" xfId="0" applyNumberFormat="1" applyFont="1" applyBorder="1" applyAlignment="1">
      <alignment horizontal="right" vertical="center" shrinkToFit="1"/>
    </xf>
    <xf numFmtId="177" fontId="83" fillId="0" borderId="51" xfId="0" applyNumberFormat="1" applyFont="1" applyBorder="1" applyAlignment="1">
      <alignment horizontal="right" vertical="center" shrinkToFit="1"/>
    </xf>
    <xf numFmtId="178" fontId="83" fillId="0" borderId="74" xfId="0" applyNumberFormat="1" applyFont="1" applyBorder="1" applyAlignment="1">
      <alignment horizontal="right" vertical="center"/>
    </xf>
    <xf numFmtId="177" fontId="83" fillId="0" borderId="58" xfId="0" applyNumberFormat="1" applyFont="1" applyBorder="1" applyAlignment="1">
      <alignment horizontal="right" vertical="center"/>
    </xf>
    <xf numFmtId="177" fontId="83" fillId="0" borderId="51" xfId="0" quotePrefix="1" applyNumberFormat="1" applyFont="1" applyBorder="1" applyAlignment="1" applyProtection="1">
      <alignment horizontal="right" vertical="center"/>
      <protection locked="0"/>
    </xf>
    <xf numFmtId="178" fontId="83" fillId="0" borderId="4" xfId="0" quotePrefix="1" applyNumberFormat="1" applyFont="1" applyBorder="1" applyAlignment="1" applyProtection="1">
      <alignment horizontal="right" vertical="center"/>
      <protection locked="0"/>
    </xf>
    <xf numFmtId="177" fontId="83" fillId="0" borderId="58" xfId="0" applyNumberFormat="1" applyFont="1" applyBorder="1" applyAlignment="1" applyProtection="1">
      <alignment horizontal="right" vertical="center"/>
      <protection locked="0"/>
    </xf>
    <xf numFmtId="178" fontId="11" fillId="0" borderId="47" xfId="0" applyNumberFormat="1" applyFont="1" applyBorder="1" applyAlignment="1" applyProtection="1">
      <alignment horizontal="right" vertical="center"/>
      <protection locked="0"/>
    </xf>
    <xf numFmtId="0" fontId="11" fillId="81" borderId="47" xfId="0" applyFont="1" applyFill="1" applyBorder="1" applyAlignment="1">
      <alignment horizontal="right" vertical="center"/>
    </xf>
    <xf numFmtId="38" fontId="11" fillId="81" borderId="53" xfId="110" applyFont="1" applyFill="1" applyBorder="1">
      <alignment vertical="center"/>
    </xf>
    <xf numFmtId="177" fontId="86" fillId="2" borderId="4" xfId="0" applyNumberFormat="1" applyFont="1" applyFill="1" applyBorder="1" applyAlignment="1">
      <alignment horizontal="right" vertical="center"/>
    </xf>
    <xf numFmtId="177" fontId="86" fillId="2" borderId="47" xfId="0" applyNumberFormat="1" applyFont="1" applyFill="1" applyBorder="1" applyAlignment="1">
      <alignment horizontal="right" vertical="center"/>
    </xf>
    <xf numFmtId="38" fontId="86" fillId="2" borderId="53" xfId="110" applyFont="1" applyFill="1" applyBorder="1" applyAlignment="1">
      <alignment vertical="center" justifyLastLine="1"/>
    </xf>
    <xf numFmtId="38" fontId="11" fillId="81" borderId="4" xfId="110" applyFont="1" applyFill="1" applyBorder="1" applyAlignment="1">
      <alignment horizontal="right" vertical="center"/>
    </xf>
    <xf numFmtId="38" fontId="11" fillId="81" borderId="53" xfId="110" applyFont="1" applyFill="1" applyBorder="1" applyAlignment="1">
      <alignment horizontal="right" vertical="center"/>
    </xf>
    <xf numFmtId="177" fontId="11" fillId="81" borderId="15" xfId="0" applyNumberFormat="1" applyFont="1" applyFill="1" applyBorder="1" applyAlignment="1">
      <alignment horizontal="right" vertical="center" shrinkToFit="1"/>
    </xf>
    <xf numFmtId="177" fontId="11" fillId="81" borderId="22" xfId="0" applyNumberFormat="1" applyFont="1" applyFill="1" applyBorder="1" applyAlignment="1" applyProtection="1">
      <alignment horizontal="right" vertical="center"/>
      <protection locked="0"/>
    </xf>
    <xf numFmtId="178" fontId="83" fillId="2" borderId="0" xfId="0" applyNumberFormat="1" applyFont="1" applyFill="1" applyAlignment="1">
      <alignment horizontal="right" vertical="center"/>
    </xf>
    <xf numFmtId="0" fontId="83" fillId="2" borderId="15" xfId="0" applyFont="1" applyFill="1" applyBorder="1" applyAlignment="1">
      <alignment horizontal="right" vertical="center"/>
    </xf>
    <xf numFmtId="178" fontId="83" fillId="2" borderId="47" xfId="0" applyNumberFormat="1" applyFont="1" applyFill="1" applyBorder="1" applyAlignment="1">
      <alignment horizontal="right" vertical="center"/>
    </xf>
    <xf numFmtId="177" fontId="83" fillId="2" borderId="15" xfId="0" applyNumberFormat="1" applyFont="1" applyFill="1" applyBorder="1" applyAlignment="1">
      <alignment horizontal="right" vertical="center" shrinkToFit="1"/>
    </xf>
    <xf numFmtId="177" fontId="83" fillId="2" borderId="58" xfId="0" applyNumberFormat="1" applyFont="1" applyFill="1" applyBorder="1" applyAlignment="1">
      <alignment horizontal="right" vertical="center" shrinkToFit="1"/>
    </xf>
    <xf numFmtId="178" fontId="83" fillId="2" borderId="51" xfId="0" applyNumberFormat="1" applyFont="1" applyFill="1" applyBorder="1" applyAlignment="1">
      <alignment horizontal="right" vertical="center"/>
    </xf>
    <xf numFmtId="178" fontId="83" fillId="2" borderId="58" xfId="0" applyNumberFormat="1" applyFont="1" applyFill="1" applyBorder="1" applyAlignment="1" applyProtection="1">
      <alignment horizontal="right" vertical="center"/>
      <protection locked="0"/>
    </xf>
    <xf numFmtId="178" fontId="86" fillId="81" borderId="0" xfId="0" applyNumberFormat="1" applyFont="1" applyFill="1" applyAlignment="1" applyProtection="1">
      <alignment horizontal="right" vertical="center"/>
      <protection locked="0"/>
    </xf>
    <xf numFmtId="180" fontId="86" fillId="81" borderId="47" xfId="0" applyNumberFormat="1" applyFont="1" applyFill="1" applyBorder="1" applyAlignment="1" applyProtection="1">
      <alignment horizontal="right" vertical="center"/>
      <protection locked="0"/>
    </xf>
    <xf numFmtId="189" fontId="86" fillId="81" borderId="15" xfId="0" applyNumberFormat="1" applyFont="1" applyFill="1" applyBorder="1" applyAlignment="1" applyProtection="1">
      <alignment horizontal="right" vertical="center"/>
      <protection locked="0"/>
    </xf>
    <xf numFmtId="178" fontId="86" fillId="0" borderId="0" xfId="0" applyNumberFormat="1" applyFont="1" applyAlignment="1" applyProtection="1">
      <alignment horizontal="right" vertical="center" shrinkToFit="1"/>
      <protection locked="0"/>
    </xf>
    <xf numFmtId="180" fontId="86" fillId="0" borderId="47" xfId="0" applyNumberFormat="1" applyFont="1" applyBorder="1" applyAlignment="1" applyProtection="1">
      <alignment horizontal="right" vertical="center" shrinkToFit="1"/>
      <protection locked="0"/>
    </xf>
    <xf numFmtId="0" fontId="0" fillId="0" borderId="15" xfId="0" applyBorder="1" applyAlignment="1">
      <alignment horizontal="center" vertical="center"/>
    </xf>
    <xf numFmtId="0" fontId="88" fillId="0" borderId="0" xfId="0" applyFont="1" applyAlignment="1">
      <alignment horizontal="right" vertical="center"/>
    </xf>
    <xf numFmtId="0" fontId="89" fillId="0" borderId="0" xfId="0" applyFont="1" applyAlignment="1">
      <alignment horizontal="right" vertical="center"/>
    </xf>
    <xf numFmtId="0" fontId="12" fillId="0" borderId="0" xfId="0" applyFont="1" applyAlignment="1">
      <alignment horizontal="center" vertical="center" wrapText="1"/>
    </xf>
    <xf numFmtId="178" fontId="83" fillId="0" borderId="0" xfId="0" applyNumberFormat="1" applyFont="1" applyAlignment="1">
      <alignment horizontal="right" vertical="center"/>
    </xf>
    <xf numFmtId="178" fontId="11" fillId="0" borderId="0" xfId="0" applyNumberFormat="1" applyFont="1" applyAlignment="1">
      <alignment horizontal="right" vertical="center" wrapText="1"/>
    </xf>
    <xf numFmtId="178" fontId="11" fillId="0" borderId="0" xfId="0" applyNumberFormat="1" applyFont="1" applyAlignment="1">
      <alignment horizontal="right" vertical="center" shrinkToFit="1"/>
    </xf>
    <xf numFmtId="177" fontId="11" fillId="0" borderId="0" xfId="0" applyNumberFormat="1" applyFont="1" applyAlignment="1">
      <alignment horizontal="right" vertical="center" shrinkToFit="1"/>
    </xf>
    <xf numFmtId="178" fontId="11" fillId="0" borderId="32" xfId="0" applyNumberFormat="1" applyFont="1" applyBorder="1" applyAlignment="1">
      <alignment horizontal="right" vertical="center" shrinkToFit="1"/>
    </xf>
    <xf numFmtId="178" fontId="11" fillId="0" borderId="32" xfId="0" applyNumberFormat="1" applyFont="1" applyBorder="1" applyAlignment="1">
      <alignment horizontal="right" vertical="center"/>
    </xf>
    <xf numFmtId="181" fontId="86" fillId="0" borderId="53" xfId="0" applyNumberFormat="1" applyFont="1" applyBorder="1" applyAlignment="1">
      <alignment horizontal="right" vertical="center"/>
    </xf>
    <xf numFmtId="177" fontId="11" fillId="0" borderId="0" xfId="0" applyNumberFormat="1" applyFont="1" applyAlignment="1">
      <alignment vertical="center" shrinkToFit="1"/>
    </xf>
    <xf numFmtId="0" fontId="9" fillId="0" borderId="0" xfId="0" applyFont="1" applyAlignment="1">
      <alignment horizontal="center" vertical="center" shrinkToFit="1"/>
    </xf>
    <xf numFmtId="0" fontId="6" fillId="0" borderId="15" xfId="0" applyFont="1" applyBorder="1" applyAlignment="1">
      <alignment horizontal="left" vertical="center" wrapText="1"/>
    </xf>
    <xf numFmtId="0" fontId="6" fillId="0" borderId="15" xfId="146" applyFont="1" applyBorder="1" applyAlignment="1">
      <alignment horizontal="right" vertical="center"/>
    </xf>
    <xf numFmtId="0" fontId="9" fillId="0" borderId="15" xfId="0" applyFont="1" applyBorder="1" applyAlignment="1">
      <alignment horizontal="distributed" vertical="center" justifyLastLine="1"/>
    </xf>
    <xf numFmtId="0" fontId="87" fillId="0" borderId="15" xfId="0" applyFont="1" applyBorder="1" applyAlignment="1">
      <alignment horizontal="distributed" vertical="center" justifyLastLine="1"/>
    </xf>
    <xf numFmtId="0" fontId="9" fillId="0" borderId="0" xfId="0" applyFont="1" applyAlignment="1">
      <alignment horizontal="distributed" vertical="center" justifyLastLine="1"/>
    </xf>
    <xf numFmtId="0" fontId="76" fillId="0" borderId="15" xfId="0" applyFont="1" applyBorder="1" applyAlignment="1">
      <alignment horizontal="distributed" vertical="center" justifyLastLine="1"/>
    </xf>
    <xf numFmtId="0" fontId="9" fillId="0" borderId="15" xfId="0" applyFont="1" applyBorder="1" applyAlignment="1">
      <alignment horizontal="distributed" vertical="center"/>
    </xf>
    <xf numFmtId="0" fontId="11" fillId="0" borderId="15" xfId="0" applyFont="1" applyBorder="1" applyAlignment="1">
      <alignment horizontal="distributed" vertical="center" justifyLastLine="1"/>
    </xf>
    <xf numFmtId="0" fontId="9" fillId="0" borderId="15" xfId="0" applyFont="1" applyBorder="1" applyAlignment="1">
      <alignment vertical="center" shrinkToFit="1"/>
    </xf>
    <xf numFmtId="0" fontId="92" fillId="0" borderId="0" xfId="136" applyFont="1">
      <alignment vertical="center"/>
    </xf>
    <xf numFmtId="0" fontId="40" fillId="0" borderId="0" xfId="0" applyFont="1">
      <alignment vertical="center"/>
    </xf>
    <xf numFmtId="0" fontId="92" fillId="0" borderId="0" xfId="136" applyFont="1" applyAlignment="1">
      <alignment horizontal="center" vertical="center"/>
    </xf>
    <xf numFmtId="0" fontId="40" fillId="0" borderId="0" xfId="136" applyFont="1">
      <alignment vertical="center"/>
    </xf>
    <xf numFmtId="0" fontId="92" fillId="0" borderId="16" xfId="136" applyFont="1" applyBorder="1" applyAlignment="1">
      <alignment horizontal="center" vertical="center"/>
    </xf>
    <xf numFmtId="0" fontId="90" fillId="0" borderId="16" xfId="136" applyFont="1" applyBorder="1">
      <alignment vertical="center"/>
    </xf>
    <xf numFmtId="0" fontId="92" fillId="0" borderId="16" xfId="136" applyFont="1" applyBorder="1">
      <alignment vertical="center"/>
    </xf>
    <xf numFmtId="0" fontId="76" fillId="0" borderId="24" xfId="136" applyFont="1" applyBorder="1" applyAlignment="1">
      <alignment horizontal="right" vertical="center"/>
    </xf>
    <xf numFmtId="0" fontId="76" fillId="0" borderId="12" xfId="136" applyFont="1" applyBorder="1" applyAlignment="1">
      <alignment horizontal="centerContinuous" vertical="center"/>
    </xf>
    <xf numFmtId="0" fontId="91" fillId="0" borderId="13" xfId="136" applyFont="1" applyBorder="1" applyAlignment="1">
      <alignment horizontal="centerContinuous" vertical="center"/>
    </xf>
    <xf numFmtId="0" fontId="76" fillId="0" borderId="7" xfId="136" applyFont="1" applyBorder="1" applyAlignment="1">
      <alignment horizontal="centerContinuous" vertical="center"/>
    </xf>
    <xf numFmtId="0" fontId="91" fillId="0" borderId="0" xfId="0" applyFont="1">
      <alignment vertical="center"/>
    </xf>
    <xf numFmtId="0" fontId="75" fillId="0" borderId="15" xfId="136" applyFont="1" applyBorder="1">
      <alignment vertical="center"/>
    </xf>
    <xf numFmtId="0" fontId="76" fillId="0" borderId="0" xfId="136" applyFont="1">
      <alignment vertical="center"/>
    </xf>
    <xf numFmtId="0" fontId="77" fillId="0" borderId="15" xfId="136" applyFont="1" applyBorder="1" applyAlignment="1">
      <alignment horizontal="center" vertical="center"/>
    </xf>
    <xf numFmtId="0" fontId="75" fillId="0" borderId="15" xfId="136" applyFont="1" applyBorder="1" applyAlignment="1">
      <alignment horizontal="center" vertical="center"/>
    </xf>
    <xf numFmtId="0" fontId="75" fillId="0" borderId="5" xfId="136" applyFont="1" applyBorder="1" applyAlignment="1">
      <alignment horizontal="center" vertical="center" wrapText="1"/>
    </xf>
    <xf numFmtId="0" fontId="75" fillId="0" borderId="5" xfId="136" applyFont="1" applyBorder="1" applyAlignment="1">
      <alignment horizontal="center" vertical="center"/>
    </xf>
    <xf numFmtId="0" fontId="78" fillId="0" borderId="38" xfId="136" applyFont="1" applyBorder="1" applyAlignment="1">
      <alignment horizontal="center" vertical="center"/>
    </xf>
    <xf numFmtId="0" fontId="80" fillId="0" borderId="38" xfId="136" applyFont="1" applyBorder="1" applyAlignment="1">
      <alignment horizontal="center" vertical="center"/>
    </xf>
    <xf numFmtId="0" fontId="75" fillId="0" borderId="0" xfId="136" applyFont="1">
      <alignment vertical="center"/>
    </xf>
    <xf numFmtId="0" fontId="75" fillId="0" borderId="27" xfId="136" applyFont="1" applyBorder="1" applyAlignment="1">
      <alignment horizontal="center" vertical="center" wrapText="1"/>
    </xf>
    <xf numFmtId="0" fontId="40" fillId="0" borderId="15" xfId="0" applyFont="1" applyBorder="1">
      <alignment vertical="center"/>
    </xf>
    <xf numFmtId="0" fontId="75" fillId="0" borderId="14" xfId="136" applyFont="1" applyBorder="1" applyAlignment="1">
      <alignment horizontal="center" vertical="center" wrapText="1"/>
    </xf>
    <xf numFmtId="0" fontId="80" fillId="0" borderId="21" xfId="136" applyFont="1" applyBorder="1" applyAlignment="1">
      <alignment horizontal="center" vertical="center" wrapText="1"/>
    </xf>
    <xf numFmtId="0" fontId="77" fillId="0" borderId="55" xfId="136" applyFont="1" applyBorder="1" applyAlignment="1">
      <alignment horizontal="center" vertical="center" wrapText="1"/>
    </xf>
    <xf numFmtId="0" fontId="79" fillId="0" borderId="14" xfId="136" applyFont="1" applyBorder="1" applyAlignment="1">
      <alignment horizontal="center" vertical="center" wrapText="1"/>
    </xf>
    <xf numFmtId="0" fontId="80" fillId="0" borderId="32" xfId="136" applyFont="1" applyBorder="1" applyAlignment="1">
      <alignment horizontal="center" vertical="center" wrapText="1"/>
    </xf>
    <xf numFmtId="0" fontId="75" fillId="0" borderId="57" xfId="136" applyFont="1" applyBorder="1">
      <alignment vertical="center"/>
    </xf>
    <xf numFmtId="0" fontId="79" fillId="0" borderId="39" xfId="136" applyFont="1" applyBorder="1" applyAlignment="1">
      <alignment horizontal="right" vertical="center"/>
    </xf>
    <xf numFmtId="0" fontId="79" fillId="0" borderId="34" xfId="136" applyFont="1" applyBorder="1" applyAlignment="1">
      <alignment horizontal="right" vertical="center"/>
    </xf>
    <xf numFmtId="0" fontId="79" fillId="0" borderId="40" xfId="136" applyFont="1" applyBorder="1" applyAlignment="1">
      <alignment horizontal="right" vertical="center"/>
    </xf>
    <xf numFmtId="0" fontId="79" fillId="0" borderId="50" xfId="136" applyFont="1" applyBorder="1" applyAlignment="1">
      <alignment horizontal="right" vertical="center"/>
    </xf>
    <xf numFmtId="0" fontId="79" fillId="0" borderId="35" xfId="136" applyFont="1" applyBorder="1" applyAlignment="1">
      <alignment horizontal="right" vertical="center"/>
    </xf>
    <xf numFmtId="0" fontId="79" fillId="0" borderId="42" xfId="136" applyFont="1" applyBorder="1" applyAlignment="1">
      <alignment horizontal="right" vertical="center"/>
    </xf>
    <xf numFmtId="0" fontId="40" fillId="0" borderId="32" xfId="0" applyFont="1" applyBorder="1">
      <alignment vertical="center"/>
    </xf>
    <xf numFmtId="0" fontId="76" fillId="5" borderId="15" xfId="0" applyFont="1" applyFill="1" applyBorder="1" applyAlignment="1">
      <alignment horizontal="center" vertical="center"/>
    </xf>
    <xf numFmtId="177" fontId="86" fillId="5" borderId="60" xfId="136" applyNumberFormat="1" applyFont="1" applyFill="1" applyBorder="1" applyAlignment="1">
      <alignment horizontal="right" vertical="center"/>
    </xf>
    <xf numFmtId="177" fontId="86" fillId="5" borderId="25" xfId="136" applyNumberFormat="1" applyFont="1" applyFill="1" applyBorder="1" applyAlignment="1">
      <alignment horizontal="right" vertical="center"/>
    </xf>
    <xf numFmtId="178" fontId="86" fillId="5" borderId="25" xfId="136" applyNumberFormat="1" applyFont="1" applyFill="1" applyBorder="1" applyAlignment="1">
      <alignment horizontal="right" vertical="center"/>
    </xf>
    <xf numFmtId="178" fontId="86" fillId="5" borderId="12" xfId="136" applyNumberFormat="1" applyFont="1" applyFill="1" applyBorder="1" applyAlignment="1">
      <alignment horizontal="right" vertical="center"/>
    </xf>
    <xf numFmtId="177" fontId="86" fillId="5" borderId="17" xfId="136" applyNumberFormat="1" applyFont="1" applyFill="1" applyBorder="1" applyAlignment="1">
      <alignment horizontal="right" vertical="center"/>
    </xf>
    <xf numFmtId="177" fontId="86" fillId="5" borderId="12" xfId="136" applyNumberFormat="1" applyFont="1" applyFill="1" applyBorder="1" applyAlignment="1">
      <alignment horizontal="right" vertical="center"/>
    </xf>
    <xf numFmtId="177" fontId="86" fillId="5" borderId="26" xfId="136" applyNumberFormat="1" applyFont="1" applyFill="1" applyBorder="1" applyAlignment="1">
      <alignment horizontal="right" vertical="center"/>
    </xf>
    <xf numFmtId="177" fontId="86" fillId="81" borderId="60" xfId="136" applyNumberFormat="1" applyFont="1" applyFill="1" applyBorder="1" applyAlignment="1">
      <alignment horizontal="right" vertical="center"/>
    </xf>
    <xf numFmtId="178" fontId="86" fillId="81" borderId="25" xfId="136" applyNumberFormat="1" applyFont="1" applyFill="1" applyBorder="1" applyAlignment="1">
      <alignment horizontal="right" vertical="center"/>
    </xf>
    <xf numFmtId="177" fontId="86" fillId="81" borderId="25" xfId="136" applyNumberFormat="1" applyFont="1" applyFill="1" applyBorder="1" applyAlignment="1">
      <alignment horizontal="right" vertical="center"/>
    </xf>
    <xf numFmtId="177" fontId="86" fillId="81" borderId="26" xfId="136" applyNumberFormat="1" applyFont="1" applyFill="1" applyBorder="1" applyAlignment="1">
      <alignment horizontal="right" vertical="center"/>
    </xf>
    <xf numFmtId="0" fontId="75" fillId="0" borderId="0" xfId="0" applyFont="1" applyAlignment="1">
      <alignment horizontal="right" vertical="center"/>
    </xf>
    <xf numFmtId="0" fontId="76" fillId="0" borderId="15" xfId="0" applyFont="1" applyBorder="1" applyAlignment="1">
      <alignment horizontal="center" vertical="center"/>
    </xf>
    <xf numFmtId="177" fontId="84" fillId="2" borderId="53" xfId="136" applyNumberFormat="1" applyFont="1" applyFill="1" applyBorder="1" applyAlignment="1">
      <alignment horizontal="right" vertical="center"/>
    </xf>
    <xf numFmtId="178" fontId="40" fillId="0" borderId="0" xfId="0" applyNumberFormat="1" applyFont="1" applyAlignment="1">
      <alignment horizontal="right" vertical="center"/>
    </xf>
    <xf numFmtId="177" fontId="86" fillId="81" borderId="53" xfId="136" applyNumberFormat="1" applyFont="1" applyFill="1" applyBorder="1" applyAlignment="1">
      <alignment horizontal="right" vertical="center"/>
    </xf>
    <xf numFmtId="179" fontId="86" fillId="81" borderId="4" xfId="136" applyNumberFormat="1" applyFont="1" applyFill="1" applyBorder="1" applyAlignment="1">
      <alignment horizontal="right" vertical="center"/>
    </xf>
    <xf numFmtId="177" fontId="86" fillId="81" borderId="47" xfId="136" applyNumberFormat="1" applyFont="1" applyFill="1" applyBorder="1" applyAlignment="1">
      <alignment horizontal="right" vertical="center" shrinkToFit="1"/>
    </xf>
    <xf numFmtId="3" fontId="86" fillId="2" borderId="4" xfId="136" applyNumberFormat="1" applyFont="1" applyFill="1" applyBorder="1" applyAlignment="1">
      <alignment horizontal="right" vertical="center"/>
    </xf>
    <xf numFmtId="179" fontId="86" fillId="2" borderId="4" xfId="136" applyNumberFormat="1" applyFont="1" applyFill="1" applyBorder="1" applyAlignment="1">
      <alignment horizontal="right" vertical="center"/>
    </xf>
    <xf numFmtId="177" fontId="86" fillId="0" borderId="15" xfId="0" applyNumberFormat="1" applyFont="1" applyBorder="1" applyAlignment="1" applyProtection="1">
      <alignment horizontal="right" vertical="center"/>
      <protection locked="0"/>
    </xf>
    <xf numFmtId="178" fontId="40" fillId="0" borderId="0" xfId="136" applyNumberFormat="1" applyFont="1" applyAlignment="1">
      <alignment horizontal="right" vertical="center"/>
    </xf>
    <xf numFmtId="177" fontId="86" fillId="80" borderId="47" xfId="0" applyNumberFormat="1" applyFont="1" applyFill="1" applyBorder="1" applyAlignment="1">
      <alignment horizontal="right" vertical="center"/>
    </xf>
    <xf numFmtId="177" fontId="86" fillId="80" borderId="4" xfId="0" applyNumberFormat="1" applyFont="1" applyFill="1" applyBorder="1" applyAlignment="1">
      <alignment horizontal="right" vertical="center"/>
    </xf>
    <xf numFmtId="177" fontId="86" fillId="80" borderId="4" xfId="136" applyNumberFormat="1" applyFont="1" applyFill="1" applyBorder="1" applyAlignment="1">
      <alignment horizontal="right" vertical="center"/>
    </xf>
    <xf numFmtId="178" fontId="86" fillId="80" borderId="4" xfId="136" applyNumberFormat="1" applyFont="1" applyFill="1" applyBorder="1" applyAlignment="1">
      <alignment horizontal="right" vertical="center"/>
    </xf>
    <xf numFmtId="177" fontId="86" fillId="80" borderId="53" xfId="136" applyNumberFormat="1" applyFont="1" applyFill="1" applyBorder="1" applyAlignment="1">
      <alignment horizontal="right" vertical="center"/>
    </xf>
    <xf numFmtId="177" fontId="86" fillId="80" borderId="47" xfId="136" applyNumberFormat="1" applyFont="1" applyFill="1" applyBorder="1" applyAlignment="1">
      <alignment horizontal="right" vertical="center"/>
    </xf>
    <xf numFmtId="0" fontId="76" fillId="81" borderId="15" xfId="0" applyFont="1" applyFill="1" applyBorder="1" applyAlignment="1">
      <alignment horizontal="center" vertical="center"/>
    </xf>
    <xf numFmtId="10" fontId="86" fillId="5" borderId="4" xfId="136" applyNumberFormat="1" applyFont="1" applyFill="1" applyBorder="1" applyAlignment="1">
      <alignment horizontal="right" vertical="center"/>
    </xf>
    <xf numFmtId="176" fontId="86" fillId="5" borderId="47" xfId="136" applyNumberFormat="1" applyFont="1" applyFill="1" applyBorder="1" applyAlignment="1">
      <alignment horizontal="right" vertical="center" shrinkToFit="1"/>
    </xf>
    <xf numFmtId="179" fontId="86" fillId="80" borderId="4" xfId="136" applyNumberFormat="1" applyFont="1" applyFill="1" applyBorder="1" applyAlignment="1">
      <alignment horizontal="right" vertical="center"/>
    </xf>
    <xf numFmtId="177" fontId="86" fillId="5" borderId="87" xfId="0" applyNumberFormat="1" applyFont="1" applyFill="1" applyBorder="1" applyAlignment="1">
      <alignment horizontal="right" vertical="center" wrapText="1"/>
    </xf>
    <xf numFmtId="177" fontId="86" fillId="5" borderId="115" xfId="0" applyNumberFormat="1" applyFont="1" applyFill="1" applyBorder="1" applyAlignment="1">
      <alignment horizontal="right" vertical="center" wrapText="1"/>
    </xf>
    <xf numFmtId="177" fontId="86" fillId="5" borderId="84" xfId="0" applyNumberFormat="1" applyFont="1" applyFill="1" applyBorder="1" applyAlignment="1">
      <alignment horizontal="right" vertical="center" wrapText="1"/>
    </xf>
    <xf numFmtId="177" fontId="86" fillId="81" borderId="87" xfId="0" applyNumberFormat="1" applyFont="1" applyFill="1" applyBorder="1" applyAlignment="1">
      <alignment horizontal="right" vertical="center" wrapText="1"/>
    </xf>
    <xf numFmtId="177" fontId="86" fillId="5" borderId="47" xfId="136" applyNumberFormat="1" applyFont="1" applyFill="1" applyBorder="1" applyAlignment="1">
      <alignment horizontal="right" vertical="center" shrinkToFit="1"/>
    </xf>
    <xf numFmtId="177" fontId="86" fillId="2" borderId="15" xfId="136" applyNumberFormat="1" applyFont="1" applyFill="1" applyBorder="1" applyAlignment="1">
      <alignment horizontal="right" vertical="center"/>
    </xf>
    <xf numFmtId="177" fontId="86" fillId="2" borderId="47" xfId="136" applyNumberFormat="1" applyFont="1" applyFill="1" applyBorder="1" applyAlignment="1">
      <alignment horizontal="right" vertical="center" shrinkToFit="1"/>
    </xf>
    <xf numFmtId="0" fontId="40" fillId="0" borderId="32" xfId="0" applyFont="1" applyBorder="1" applyAlignment="1">
      <alignment horizontal="right" vertical="center"/>
    </xf>
    <xf numFmtId="177" fontId="84" fillId="0" borderId="53" xfId="136" applyNumberFormat="1" applyFont="1" applyBorder="1" applyAlignment="1">
      <alignment horizontal="right" vertical="center"/>
    </xf>
    <xf numFmtId="177" fontId="84" fillId="0" borderId="47" xfId="136" applyNumberFormat="1" applyFont="1" applyBorder="1" applyAlignment="1">
      <alignment horizontal="right" vertical="center" shrinkToFit="1"/>
    </xf>
    <xf numFmtId="177" fontId="86" fillId="81" borderId="0" xfId="0" applyNumberFormat="1" applyFont="1" applyFill="1" applyAlignment="1">
      <alignment horizontal="right" vertical="center"/>
    </xf>
    <xf numFmtId="178" fontId="86" fillId="81" borderId="0" xfId="0" applyNumberFormat="1" applyFont="1" applyFill="1" applyAlignment="1">
      <alignment horizontal="right" vertical="center"/>
    </xf>
    <xf numFmtId="177" fontId="86" fillId="0" borderId="15" xfId="136" applyNumberFormat="1" applyFont="1" applyBorder="1" applyAlignment="1">
      <alignment horizontal="right" vertical="center"/>
    </xf>
    <xf numFmtId="177" fontId="86" fillId="5" borderId="15" xfId="0" applyNumberFormat="1" applyFont="1" applyFill="1" applyBorder="1" applyAlignment="1">
      <alignment horizontal="right" vertical="center"/>
    </xf>
    <xf numFmtId="177" fontId="86" fillId="5" borderId="0" xfId="0" applyNumberFormat="1" applyFont="1" applyFill="1" applyAlignment="1">
      <alignment horizontal="right" vertical="center"/>
    </xf>
    <xf numFmtId="178" fontId="86" fillId="5" borderId="0" xfId="0" applyNumberFormat="1" applyFont="1" applyFill="1" applyAlignment="1">
      <alignment horizontal="right" vertical="center"/>
    </xf>
    <xf numFmtId="177" fontId="86" fillId="5" borderId="15" xfId="136" applyNumberFormat="1" applyFont="1" applyFill="1" applyBorder="1" applyAlignment="1">
      <alignment horizontal="right" vertical="center"/>
    </xf>
    <xf numFmtId="0" fontId="76" fillId="81" borderId="75" xfId="0" applyFont="1" applyFill="1" applyBorder="1" applyAlignment="1">
      <alignment horizontal="center" vertical="center"/>
    </xf>
    <xf numFmtId="177" fontId="86" fillId="81" borderId="75" xfId="136" applyNumberFormat="1" applyFont="1" applyFill="1" applyBorder="1">
      <alignment vertical="center"/>
    </xf>
    <xf numFmtId="177" fontId="86" fillId="81" borderId="71" xfId="136" applyNumberFormat="1" applyFont="1" applyFill="1" applyBorder="1">
      <alignment vertical="center"/>
    </xf>
    <xf numFmtId="177" fontId="86" fillId="81" borderId="71" xfId="136" applyNumberFormat="1" applyFont="1" applyFill="1" applyBorder="1" applyAlignment="1">
      <alignment horizontal="right" vertical="center"/>
    </xf>
    <xf numFmtId="177" fontId="86" fillId="81" borderId="73" xfId="136" applyNumberFormat="1" applyFont="1" applyFill="1" applyBorder="1" applyAlignment="1">
      <alignment horizontal="right" vertical="center"/>
    </xf>
    <xf numFmtId="177" fontId="86" fillId="81" borderId="72" xfId="136" applyNumberFormat="1" applyFont="1" applyFill="1" applyBorder="1">
      <alignment vertical="center"/>
    </xf>
    <xf numFmtId="177" fontId="86" fillId="81" borderId="69" xfId="136" applyNumberFormat="1" applyFont="1" applyFill="1" applyBorder="1">
      <alignment vertical="center"/>
    </xf>
    <xf numFmtId="177" fontId="86" fillId="81" borderId="83" xfId="136" applyNumberFormat="1" applyFont="1" applyFill="1" applyBorder="1">
      <alignment vertical="center"/>
    </xf>
    <xf numFmtId="177" fontId="86" fillId="81" borderId="77" xfId="136" applyNumberFormat="1" applyFont="1" applyFill="1" applyBorder="1" applyAlignment="1">
      <alignment vertical="center" shrinkToFit="1"/>
    </xf>
    <xf numFmtId="0" fontId="40" fillId="0" borderId="32" xfId="0" applyFont="1" applyBorder="1" applyAlignment="1">
      <alignment vertical="center" shrinkToFit="1"/>
    </xf>
    <xf numFmtId="177" fontId="86" fillId="81" borderId="75" xfId="136" applyNumberFormat="1" applyFont="1" applyFill="1" applyBorder="1" applyAlignment="1">
      <alignment vertical="center" shrinkToFit="1"/>
    </xf>
    <xf numFmtId="177" fontId="86" fillId="0" borderId="15" xfId="136" applyNumberFormat="1" applyFont="1" applyBorder="1">
      <alignment vertical="center"/>
    </xf>
    <xf numFmtId="178" fontId="86" fillId="0" borderId="4" xfId="136" applyNumberFormat="1" applyFont="1" applyBorder="1">
      <alignment vertical="center"/>
    </xf>
    <xf numFmtId="177" fontId="86" fillId="0" borderId="53" xfId="136" applyNumberFormat="1" applyFont="1" applyBorder="1">
      <alignment vertical="center"/>
    </xf>
    <xf numFmtId="177" fontId="86" fillId="0" borderId="0" xfId="136" applyNumberFormat="1" applyFont="1">
      <alignment vertical="center"/>
    </xf>
    <xf numFmtId="0" fontId="82" fillId="0" borderId="13" xfId="136" applyFont="1" applyBorder="1">
      <alignment vertical="center"/>
    </xf>
    <xf numFmtId="0" fontId="77" fillId="0" borderId="13" xfId="136" applyFont="1" applyBorder="1">
      <alignment vertical="center"/>
    </xf>
    <xf numFmtId="0" fontId="77" fillId="0" borderId="13" xfId="136" applyFont="1" applyBorder="1" applyAlignment="1">
      <alignment horizontal="right" vertical="center"/>
    </xf>
    <xf numFmtId="179" fontId="77" fillId="0" borderId="13" xfId="136" applyNumberFormat="1" applyFont="1" applyBorder="1" applyAlignment="1">
      <alignment horizontal="right" vertical="center"/>
    </xf>
    <xf numFmtId="177" fontId="77" fillId="0" borderId="13" xfId="136" applyNumberFormat="1" applyFont="1" applyBorder="1" applyAlignment="1">
      <alignment horizontal="right" vertical="center"/>
    </xf>
    <xf numFmtId="0" fontId="82" fillId="0" borderId="0" xfId="0" applyFont="1">
      <alignment vertical="center"/>
    </xf>
    <xf numFmtId="177" fontId="77" fillId="0" borderId="13" xfId="136" applyNumberFormat="1" applyFont="1" applyBorder="1" applyAlignment="1">
      <alignment horizontal="left" vertical="center"/>
    </xf>
    <xf numFmtId="177" fontId="86" fillId="0" borderId="0" xfId="0" applyNumberFormat="1" applyFont="1">
      <alignment vertical="center"/>
    </xf>
    <xf numFmtId="179" fontId="86" fillId="0" borderId="0" xfId="0" applyNumberFormat="1" applyFont="1" applyAlignment="1">
      <alignment horizontal="right" vertical="center"/>
    </xf>
    <xf numFmtId="177" fontId="86" fillId="2" borderId="0" xfId="0" applyNumberFormat="1" applyFont="1" applyFill="1">
      <alignment vertical="center"/>
    </xf>
    <xf numFmtId="178" fontId="86" fillId="2" borderId="0" xfId="0" applyNumberFormat="1" applyFont="1" applyFill="1" applyAlignment="1">
      <alignment horizontal="right" vertical="center"/>
    </xf>
    <xf numFmtId="177" fontId="86" fillId="2" borderId="0" xfId="0" applyNumberFormat="1" applyFont="1" applyFill="1" applyAlignment="1">
      <alignment horizontal="right" vertical="center"/>
    </xf>
    <xf numFmtId="177" fontId="86" fillId="2" borderId="4" xfId="0" applyNumberFormat="1" applyFont="1" applyFill="1" applyBorder="1" applyAlignment="1" applyProtection="1">
      <alignment horizontal="right" vertical="center"/>
      <protection locked="0"/>
    </xf>
    <xf numFmtId="177" fontId="86" fillId="2" borderId="53" xfId="0" applyNumberFormat="1" applyFont="1" applyFill="1" applyBorder="1" applyAlignment="1" applyProtection="1">
      <alignment horizontal="right" vertical="center"/>
      <protection locked="0"/>
    </xf>
    <xf numFmtId="0" fontId="86" fillId="0" borderId="53" xfId="95" applyNumberFormat="1" applyFont="1" applyFill="1" applyBorder="1" applyAlignment="1" applyProtection="1">
      <alignment horizontal="right" vertical="center"/>
      <protection locked="0"/>
    </xf>
    <xf numFmtId="38" fontId="88" fillId="0" borderId="47" xfId="150" applyNumberFormat="1" applyFont="1" applyBorder="1"/>
    <xf numFmtId="0" fontId="92" fillId="0" borderId="0" xfId="0" applyFont="1" applyAlignment="1">
      <alignment vertical="center" shrinkToFit="1"/>
    </xf>
    <xf numFmtId="0" fontId="94" fillId="0" borderId="0" xfId="0" applyFont="1">
      <alignment vertical="center"/>
    </xf>
    <xf numFmtId="0" fontId="95" fillId="0" borderId="0" xfId="0" applyFont="1">
      <alignment vertical="center"/>
    </xf>
    <xf numFmtId="0" fontId="76" fillId="0" borderId="31" xfId="0" applyFont="1" applyBorder="1" applyAlignment="1">
      <alignment horizontal="right" vertical="center"/>
    </xf>
    <xf numFmtId="0" fontId="76" fillId="0" borderId="32" xfId="0" applyFont="1" applyBorder="1" applyAlignment="1">
      <alignment horizontal="center" vertical="center" shrinkToFit="1"/>
    </xf>
    <xf numFmtId="0" fontId="76" fillId="0" borderId="32" xfId="0" applyFont="1" applyBorder="1">
      <alignment vertical="center"/>
    </xf>
    <xf numFmtId="0" fontId="76" fillId="0" borderId="37" xfId="0" applyFont="1" applyBorder="1">
      <alignment vertical="center"/>
    </xf>
    <xf numFmtId="0" fontId="79" fillId="0" borderId="36" xfId="0" applyFont="1" applyBorder="1" applyAlignment="1">
      <alignment horizontal="right" vertical="center"/>
    </xf>
    <xf numFmtId="0" fontId="79" fillId="0" borderId="35" xfId="0" applyFont="1" applyBorder="1" applyAlignment="1">
      <alignment horizontal="right" vertical="center"/>
    </xf>
    <xf numFmtId="0" fontId="79" fillId="0" borderId="32" xfId="0" applyFont="1" applyBorder="1" applyAlignment="1">
      <alignment horizontal="right" vertical="center"/>
    </xf>
    <xf numFmtId="0" fontId="79" fillId="0" borderId="39" xfId="0" applyFont="1" applyBorder="1" applyAlignment="1">
      <alignment horizontal="right" vertical="center"/>
    </xf>
    <xf numFmtId="0" fontId="76" fillId="81" borderId="32" xfId="0" applyFont="1" applyFill="1" applyBorder="1" applyAlignment="1">
      <alignment horizontal="center" vertical="center"/>
    </xf>
    <xf numFmtId="177" fontId="86" fillId="5" borderId="26" xfId="0" applyNumberFormat="1" applyFont="1" applyFill="1" applyBorder="1" applyAlignment="1">
      <alignment horizontal="right" vertical="center"/>
    </xf>
    <xf numFmtId="0" fontId="76" fillId="0" borderId="32" xfId="0" applyFont="1" applyBorder="1" applyAlignment="1">
      <alignment horizontal="center" vertical="center"/>
    </xf>
    <xf numFmtId="177" fontId="84" fillId="2" borderId="51" xfId="0" applyNumberFormat="1" applyFont="1" applyFill="1" applyBorder="1" applyAlignment="1">
      <alignment horizontal="right" vertical="center"/>
    </xf>
    <xf numFmtId="181" fontId="84" fillId="0" borderId="53" xfId="0" applyNumberFormat="1" applyFont="1" applyBorder="1" applyAlignment="1">
      <alignment horizontal="right" vertical="center"/>
    </xf>
    <xf numFmtId="177" fontId="86" fillId="2" borderId="51" xfId="0" applyNumberFormat="1" applyFont="1" applyFill="1" applyBorder="1" applyAlignment="1">
      <alignment horizontal="right" vertical="center"/>
    </xf>
    <xf numFmtId="177" fontId="86" fillId="5" borderId="51" xfId="0" applyNumberFormat="1" applyFont="1" applyFill="1" applyBorder="1" applyAlignment="1">
      <alignment horizontal="right" vertical="center" wrapText="1"/>
    </xf>
    <xf numFmtId="177" fontId="86" fillId="5" borderId="4" xfId="0" applyNumberFormat="1" applyFont="1" applyFill="1" applyBorder="1" applyAlignment="1">
      <alignment horizontal="right" vertical="center" wrapText="1"/>
    </xf>
    <xf numFmtId="181" fontId="86" fillId="0" borderId="0" xfId="0" applyNumberFormat="1" applyFont="1" applyAlignment="1">
      <alignment horizontal="right" vertical="center"/>
    </xf>
    <xf numFmtId="177" fontId="86" fillId="5" borderId="88" xfId="0" applyNumberFormat="1" applyFont="1" applyFill="1" applyBorder="1" applyAlignment="1">
      <alignment horizontal="right" vertical="center" wrapText="1"/>
    </xf>
    <xf numFmtId="178" fontId="86" fillId="5" borderId="89" xfId="0" applyNumberFormat="1" applyFont="1" applyFill="1" applyBorder="1" applyAlignment="1">
      <alignment horizontal="right" vertical="center" wrapText="1"/>
    </xf>
    <xf numFmtId="177" fontId="86" fillId="2" borderId="15" xfId="0" applyNumberFormat="1" applyFont="1" applyFill="1" applyBorder="1" applyAlignment="1">
      <alignment horizontal="right" vertical="center"/>
    </xf>
    <xf numFmtId="177" fontId="84" fillId="0" borderId="51" xfId="0" applyNumberFormat="1" applyFont="1" applyBorder="1" applyAlignment="1">
      <alignment horizontal="right" vertical="center"/>
    </xf>
    <xf numFmtId="177" fontId="86" fillId="5" borderId="53" xfId="0" applyNumberFormat="1" applyFont="1" applyFill="1" applyBorder="1" applyAlignment="1">
      <alignment horizontal="right" vertical="center"/>
    </xf>
    <xf numFmtId="177" fontId="84" fillId="2" borderId="0" xfId="0" applyNumberFormat="1" applyFont="1" applyFill="1" applyAlignment="1">
      <alignment horizontal="right" vertical="center"/>
    </xf>
    <xf numFmtId="177" fontId="84" fillId="0" borderId="15" xfId="0" applyNumberFormat="1" applyFont="1" applyBorder="1" applyAlignment="1">
      <alignment horizontal="right" vertical="center"/>
    </xf>
    <xf numFmtId="0" fontId="76" fillId="81" borderId="78" xfId="0" applyFont="1" applyFill="1" applyBorder="1" applyAlignment="1">
      <alignment horizontal="center" vertical="center" shrinkToFit="1"/>
    </xf>
    <xf numFmtId="177" fontId="86" fillId="81" borderId="77" xfId="0" applyNumberFormat="1" applyFont="1" applyFill="1" applyBorder="1" applyAlignment="1">
      <alignment horizontal="right" vertical="center" shrinkToFit="1"/>
    </xf>
    <xf numFmtId="177" fontId="86" fillId="81" borderId="71" xfId="0" applyNumberFormat="1" applyFont="1" applyFill="1" applyBorder="1" applyAlignment="1">
      <alignment horizontal="right" vertical="center" shrinkToFit="1"/>
    </xf>
    <xf numFmtId="177" fontId="86" fillId="81" borderId="83" xfId="0" applyNumberFormat="1" applyFont="1" applyFill="1" applyBorder="1" applyAlignment="1">
      <alignment horizontal="right" vertical="center" shrinkToFit="1"/>
    </xf>
    <xf numFmtId="181" fontId="86" fillId="0" borderId="32" xfId="0" applyNumberFormat="1" applyFont="1" applyBorder="1" applyAlignment="1">
      <alignment horizontal="right" vertical="center" shrinkToFit="1"/>
    </xf>
    <xf numFmtId="177" fontId="86" fillId="81" borderId="75" xfId="0" applyNumberFormat="1" applyFont="1" applyFill="1" applyBorder="1" applyAlignment="1">
      <alignment horizontal="right" vertical="center" shrinkToFit="1"/>
    </xf>
    <xf numFmtId="178" fontId="86" fillId="81" borderId="72" xfId="0" applyNumberFormat="1" applyFont="1" applyFill="1" applyBorder="1" applyAlignment="1">
      <alignment horizontal="right" vertical="center" shrinkToFit="1"/>
    </xf>
    <xf numFmtId="0" fontId="76" fillId="0" borderId="37" xfId="0" applyFont="1" applyBorder="1" applyAlignment="1">
      <alignment horizontal="center" vertical="center"/>
    </xf>
    <xf numFmtId="177" fontId="86" fillId="0" borderId="16" xfId="0" applyNumberFormat="1" applyFont="1" applyBorder="1" applyAlignment="1">
      <alignment horizontal="right" vertical="center"/>
    </xf>
    <xf numFmtId="177" fontId="86" fillId="0" borderId="41" xfId="0" applyNumberFormat="1" applyFont="1" applyBorder="1" applyAlignment="1">
      <alignment horizontal="right" vertical="center"/>
    </xf>
    <xf numFmtId="177" fontId="86" fillId="0" borderId="152" xfId="0" applyNumberFormat="1" applyFont="1" applyBorder="1" applyAlignment="1">
      <alignment horizontal="right" vertical="center"/>
    </xf>
    <xf numFmtId="181" fontId="86" fillId="0" borderId="32" xfId="0" applyNumberFormat="1" applyFont="1" applyBorder="1" applyAlignment="1">
      <alignment horizontal="right" vertical="center"/>
    </xf>
    <xf numFmtId="177" fontId="86" fillId="0" borderId="57" xfId="0" applyNumberFormat="1" applyFont="1" applyBorder="1" applyAlignment="1">
      <alignment horizontal="right" vertical="center"/>
    </xf>
    <xf numFmtId="178" fontId="86" fillId="0" borderId="42" xfId="0" applyNumberFormat="1" applyFont="1" applyBorder="1" applyAlignment="1">
      <alignment horizontal="right" vertical="center"/>
    </xf>
    <xf numFmtId="38" fontId="11" fillId="0" borderId="53" xfId="110" applyFont="1" applyFill="1" applyBorder="1" applyAlignment="1">
      <alignment horizontal="right" vertical="center" justifyLastLine="1"/>
    </xf>
    <xf numFmtId="38" fontId="11" fillId="81" borderId="53" xfId="111" applyFont="1" applyFill="1" applyBorder="1" applyAlignment="1">
      <alignment horizontal="right" vertical="center" justifyLastLine="1"/>
    </xf>
    <xf numFmtId="0" fontId="83" fillId="0" borderId="47" xfId="0" applyFont="1" applyBorder="1" applyAlignment="1">
      <alignment horizontal="right" vertical="center" justifyLastLine="1"/>
    </xf>
    <xf numFmtId="177" fontId="11" fillId="81" borderId="70" xfId="0" applyNumberFormat="1" applyFont="1" applyFill="1" applyBorder="1" applyAlignment="1">
      <alignment vertical="center" shrinkToFit="1"/>
    </xf>
    <xf numFmtId="177" fontId="11" fillId="0" borderId="46" xfId="0" applyNumberFormat="1" applyFont="1" applyBorder="1" applyAlignment="1">
      <alignment horizontal="right" vertical="center"/>
    </xf>
    <xf numFmtId="177" fontId="11" fillId="5" borderId="0" xfId="0" quotePrefix="1" applyNumberFormat="1" applyFont="1" applyFill="1" applyAlignment="1">
      <alignment horizontal="right" vertical="center"/>
    </xf>
    <xf numFmtId="177" fontId="11" fillId="2" borderId="0" xfId="0" applyNumberFormat="1" applyFont="1" applyFill="1" applyAlignment="1">
      <alignment horizontal="right" vertical="center"/>
    </xf>
    <xf numFmtId="177" fontId="83" fillId="2" borderId="0" xfId="0" applyNumberFormat="1" applyFont="1" applyFill="1" applyAlignment="1">
      <alignment horizontal="right" vertical="center"/>
    </xf>
    <xf numFmtId="178" fontId="11" fillId="0" borderId="42" xfId="0" applyNumberFormat="1" applyFont="1" applyBorder="1" applyProtection="1">
      <alignment vertical="center"/>
      <protection locked="0"/>
    </xf>
    <xf numFmtId="178" fontId="11" fillId="0" borderId="152" xfId="0" applyNumberFormat="1" applyFont="1" applyBorder="1" applyProtection="1">
      <alignment vertical="center"/>
      <protection locked="0"/>
    </xf>
    <xf numFmtId="177" fontId="11" fillId="0" borderId="41" xfId="0" applyNumberFormat="1" applyFont="1" applyBorder="1" applyAlignment="1">
      <alignment vertical="center" shrinkToFit="1"/>
    </xf>
    <xf numFmtId="178" fontId="11" fillId="0" borderId="42" xfId="0" applyNumberFormat="1" applyFont="1" applyBorder="1" applyAlignment="1">
      <alignment vertical="center" shrinkToFit="1"/>
    </xf>
    <xf numFmtId="177" fontId="86" fillId="5" borderId="58" xfId="0" applyNumberFormat="1" applyFont="1" applyFill="1" applyBorder="1" applyAlignment="1">
      <alignment horizontal="right" vertical="center"/>
    </xf>
    <xf numFmtId="177" fontId="11" fillId="0" borderId="157" xfId="0" applyNumberFormat="1" applyFont="1" applyBorder="1" applyAlignment="1">
      <alignment vertical="center" shrinkToFit="1"/>
    </xf>
    <xf numFmtId="178" fontId="11" fillId="0" borderId="42" xfId="0" applyNumberFormat="1" applyFont="1" applyBorder="1" applyAlignment="1">
      <alignment horizontal="right" vertical="center" shrinkToFit="1"/>
    </xf>
    <xf numFmtId="177" fontId="11" fillId="0" borderId="158" xfId="0" applyNumberFormat="1" applyFont="1" applyBorder="1" applyAlignment="1">
      <alignment horizontal="right" vertical="center"/>
    </xf>
    <xf numFmtId="178" fontId="11" fillId="0" borderId="152" xfId="0" applyNumberFormat="1" applyFont="1" applyBorder="1" applyAlignment="1" applyProtection="1">
      <alignment horizontal="right" vertical="center"/>
      <protection locked="0"/>
    </xf>
    <xf numFmtId="177" fontId="11" fillId="0" borderId="158" xfId="0" applyNumberFormat="1" applyFont="1" applyBorder="1" applyAlignment="1" applyProtection="1">
      <alignment horizontal="right" vertical="center"/>
      <protection locked="0"/>
    </xf>
    <xf numFmtId="178" fontId="11" fillId="0" borderId="158" xfId="0" applyNumberFormat="1" applyFont="1" applyBorder="1" applyProtection="1">
      <alignment vertical="center"/>
      <protection locked="0"/>
    </xf>
    <xf numFmtId="178" fontId="11" fillId="0" borderId="41" xfId="0" applyNumberFormat="1" applyFont="1" applyBorder="1" applyProtection="1">
      <alignment vertical="center"/>
      <protection locked="0"/>
    </xf>
    <xf numFmtId="0" fontId="86" fillId="81" borderId="0" xfId="95" applyNumberFormat="1" applyFont="1" applyFill="1" applyBorder="1" applyAlignment="1" applyProtection="1">
      <alignment horizontal="right" vertical="center"/>
      <protection locked="0"/>
    </xf>
    <xf numFmtId="0" fontId="40" fillId="83" borderId="0" xfId="0" applyFont="1" applyFill="1">
      <alignment vertical="center"/>
    </xf>
    <xf numFmtId="0" fontId="11" fillId="5" borderId="4" xfId="0" applyFont="1" applyFill="1" applyBorder="1" applyAlignment="1">
      <alignment horizontal="right" vertical="center"/>
    </xf>
    <xf numFmtId="177" fontId="83" fillId="5" borderId="47" xfId="0" applyNumberFormat="1" applyFont="1" applyFill="1" applyBorder="1" applyAlignment="1">
      <alignment horizontal="right" vertical="center"/>
    </xf>
    <xf numFmtId="177" fontId="83" fillId="81" borderId="47" xfId="0" applyNumberFormat="1" applyFont="1" applyFill="1" applyBorder="1" applyAlignment="1">
      <alignment horizontal="right" vertical="center"/>
    </xf>
    <xf numFmtId="177" fontId="83" fillId="80" borderId="47" xfId="0" applyNumberFormat="1" applyFont="1" applyFill="1" applyBorder="1" applyAlignment="1">
      <alignment horizontal="right" vertical="center"/>
    </xf>
    <xf numFmtId="177" fontId="84" fillId="0" borderId="47" xfId="0" applyNumberFormat="1" applyFont="1" applyBorder="1" applyAlignment="1">
      <alignment horizontal="right" vertical="center" shrinkToFit="1"/>
    </xf>
    <xf numFmtId="177" fontId="84" fillId="81" borderId="47" xfId="0" applyNumberFormat="1" applyFont="1" applyFill="1" applyBorder="1" applyAlignment="1">
      <alignment horizontal="right" vertical="center"/>
    </xf>
    <xf numFmtId="177" fontId="83" fillId="5" borderId="47" xfId="0" applyNumberFormat="1" applyFont="1" applyFill="1" applyBorder="1" applyAlignment="1">
      <alignment horizontal="right" vertical="center" shrinkToFit="1"/>
    </xf>
    <xf numFmtId="177" fontId="83" fillId="5" borderId="87" xfId="0" applyNumberFormat="1" applyFont="1" applyFill="1" applyBorder="1" applyAlignment="1">
      <alignment horizontal="right" vertical="center" wrapText="1"/>
    </xf>
    <xf numFmtId="177" fontId="83" fillId="2" borderId="47" xfId="0" applyNumberFormat="1" applyFont="1" applyFill="1" applyBorder="1" applyAlignment="1">
      <alignment horizontal="right" vertical="center" shrinkToFit="1"/>
    </xf>
    <xf numFmtId="177" fontId="83" fillId="81" borderId="15" xfId="0" applyNumberFormat="1" applyFont="1" applyFill="1" applyBorder="1" applyAlignment="1">
      <alignment horizontal="right" vertical="center"/>
    </xf>
    <xf numFmtId="177" fontId="83" fillId="5" borderId="15" xfId="0" applyNumberFormat="1" applyFont="1" applyFill="1" applyBorder="1" applyAlignment="1">
      <alignment horizontal="right" vertical="center"/>
    </xf>
    <xf numFmtId="177" fontId="87" fillId="5" borderId="51" xfId="0" applyNumberFormat="1" applyFont="1" applyFill="1" applyBorder="1" applyAlignment="1">
      <alignment horizontal="right" vertical="center"/>
    </xf>
    <xf numFmtId="177" fontId="87" fillId="81" borderId="51" xfId="0" applyNumberFormat="1" applyFont="1" applyFill="1" applyBorder="1" applyAlignment="1">
      <alignment horizontal="right" vertical="center" shrinkToFit="1"/>
    </xf>
    <xf numFmtId="177" fontId="87" fillId="81" borderId="51" xfId="0" applyNumberFormat="1" applyFont="1" applyFill="1" applyBorder="1" applyAlignment="1">
      <alignment horizontal="right" vertical="center"/>
    </xf>
    <xf numFmtId="177" fontId="87" fillId="80" borderId="51" xfId="0" applyNumberFormat="1" applyFont="1" applyFill="1" applyBorder="1" applyAlignment="1">
      <alignment horizontal="right" vertical="center"/>
    </xf>
    <xf numFmtId="177" fontId="124" fillId="0" borderId="51" xfId="0" applyNumberFormat="1" applyFont="1" applyBorder="1" applyAlignment="1">
      <alignment horizontal="right" vertical="center" shrinkToFit="1"/>
    </xf>
    <xf numFmtId="177" fontId="124" fillId="81" borderId="51" xfId="0" applyNumberFormat="1" applyFont="1" applyFill="1" applyBorder="1" applyAlignment="1">
      <alignment horizontal="right" vertical="center"/>
    </xf>
    <xf numFmtId="177" fontId="87" fillId="0" borderId="51" xfId="0" applyNumberFormat="1" applyFont="1" applyBorder="1" applyAlignment="1">
      <alignment horizontal="right" vertical="center" shrinkToFit="1"/>
    </xf>
    <xf numFmtId="177" fontId="87" fillId="5" borderId="51" xfId="0" applyNumberFormat="1" applyFont="1" applyFill="1" applyBorder="1" applyAlignment="1">
      <alignment horizontal="right" vertical="center" shrinkToFit="1"/>
    </xf>
    <xf numFmtId="177" fontId="87" fillId="5" borderId="47" xfId="0" applyNumberFormat="1" applyFont="1" applyFill="1" applyBorder="1" applyAlignment="1">
      <alignment horizontal="right" vertical="center"/>
    </xf>
    <xf numFmtId="177" fontId="87" fillId="81" borderId="47" xfId="0" applyNumberFormat="1" applyFont="1" applyFill="1" applyBorder="1" applyAlignment="1">
      <alignment horizontal="right" vertical="center"/>
    </xf>
    <xf numFmtId="177" fontId="87" fillId="80" borderId="47" xfId="0" applyNumberFormat="1" applyFont="1" applyFill="1" applyBorder="1" applyAlignment="1">
      <alignment horizontal="right" vertical="center"/>
    </xf>
    <xf numFmtId="177" fontId="124" fillId="0" borderId="47" xfId="0" applyNumberFormat="1" applyFont="1" applyBorder="1" applyAlignment="1">
      <alignment horizontal="right" vertical="center" shrinkToFit="1"/>
    </xf>
    <xf numFmtId="177" fontId="124" fillId="81" borderId="47" xfId="0" applyNumberFormat="1" applyFont="1" applyFill="1" applyBorder="1" applyAlignment="1">
      <alignment horizontal="right" vertical="center"/>
    </xf>
    <xf numFmtId="177" fontId="87" fillId="5" borderId="47" xfId="0" applyNumberFormat="1" applyFont="1" applyFill="1" applyBorder="1" applyAlignment="1">
      <alignment horizontal="right" vertical="center" shrinkToFit="1"/>
    </xf>
    <xf numFmtId="177" fontId="87" fillId="5" borderId="87" xfId="0" applyNumberFormat="1" applyFont="1" applyFill="1" applyBorder="1" applyAlignment="1">
      <alignment horizontal="right" vertical="center" wrapText="1"/>
    </xf>
    <xf numFmtId="177" fontId="87" fillId="2" borderId="47" xfId="0" applyNumberFormat="1" applyFont="1" applyFill="1" applyBorder="1" applyAlignment="1">
      <alignment horizontal="right" vertical="center" shrinkToFit="1"/>
    </xf>
    <xf numFmtId="177" fontId="87" fillId="81" borderId="47" xfId="0" applyNumberFormat="1" applyFont="1" applyFill="1" applyBorder="1" applyAlignment="1">
      <alignment horizontal="right" vertical="center" shrinkToFit="1"/>
    </xf>
    <xf numFmtId="0" fontId="93" fillId="0" borderId="0" xfId="0" applyFont="1" applyAlignment="1">
      <alignment horizontal="center" vertical="center"/>
    </xf>
    <xf numFmtId="0" fontId="76" fillId="0" borderId="19" xfId="0" applyFont="1" applyBorder="1" applyAlignment="1">
      <alignment horizontal="center" vertical="center" shrinkToFit="1"/>
    </xf>
    <xf numFmtId="0" fontId="76" fillId="0" borderId="18" xfId="0" applyFont="1" applyBorder="1" applyAlignment="1">
      <alignment horizontal="center" vertical="center" shrinkToFit="1"/>
    </xf>
    <xf numFmtId="177" fontId="11" fillId="0" borderId="53" xfId="0" quotePrefix="1" applyNumberFormat="1" applyFont="1" applyBorder="1" applyAlignment="1">
      <alignment horizontal="right" vertical="center"/>
    </xf>
    <xf numFmtId="178" fontId="11" fillId="5" borderId="4" xfId="0" quotePrefix="1" applyNumberFormat="1" applyFont="1" applyFill="1" applyBorder="1" applyAlignment="1" applyProtection="1">
      <alignment horizontal="right" vertical="center"/>
      <protection locked="0"/>
    </xf>
    <xf numFmtId="0" fontId="73" fillId="2" borderId="0" xfId="0" applyFont="1" applyFill="1">
      <alignment vertical="center"/>
    </xf>
    <xf numFmtId="0" fontId="73" fillId="0" borderId="0" xfId="0" applyFont="1">
      <alignment vertical="center"/>
    </xf>
    <xf numFmtId="0" fontId="125" fillId="2" borderId="0" xfId="0" applyFont="1" applyFill="1" applyAlignment="1">
      <alignment horizontal="center" vertical="center"/>
    </xf>
    <xf numFmtId="0" fontId="73" fillId="2" borderId="0" xfId="0" applyFont="1" applyFill="1" applyAlignment="1">
      <alignment horizontal="center" vertical="center"/>
    </xf>
    <xf numFmtId="0" fontId="73" fillId="2" borderId="0" xfId="0" applyFont="1" applyFill="1" applyAlignment="1">
      <alignment horizontal="left" vertical="center"/>
    </xf>
    <xf numFmtId="0" fontId="73" fillId="5" borderId="30" xfId="0" applyFont="1" applyFill="1" applyBorder="1" applyAlignment="1">
      <alignment horizontal="center" vertical="center"/>
    </xf>
    <xf numFmtId="0" fontId="73" fillId="5" borderId="93" xfId="0" applyFont="1" applyFill="1" applyBorder="1" applyAlignment="1">
      <alignment horizontal="center" vertical="center"/>
    </xf>
    <xf numFmtId="0" fontId="73" fillId="5" borderId="94" xfId="0" applyFont="1" applyFill="1" applyBorder="1" applyAlignment="1">
      <alignment horizontal="center" vertical="center"/>
    </xf>
    <xf numFmtId="0" fontId="73" fillId="0" borderId="24" xfId="0" applyFont="1" applyBorder="1">
      <alignment vertical="center"/>
    </xf>
    <xf numFmtId="0" fontId="73" fillId="0" borderId="95" xfId="0" applyFont="1" applyBorder="1" applyAlignment="1">
      <alignment vertical="top" wrapText="1"/>
    </xf>
    <xf numFmtId="0" fontId="73" fillId="0" borderId="15" xfId="0" applyFont="1" applyBorder="1">
      <alignment vertical="center"/>
    </xf>
    <xf numFmtId="0" fontId="73" fillId="0" borderId="15" xfId="0" applyFont="1" applyBorder="1" applyAlignment="1">
      <alignment vertical="center" wrapText="1"/>
    </xf>
    <xf numFmtId="0" fontId="73" fillId="0" borderId="96" xfId="0" applyFont="1" applyBorder="1">
      <alignment vertical="center"/>
    </xf>
    <xf numFmtId="0" fontId="73" fillId="0" borderId="57" xfId="0" applyFont="1" applyBorder="1">
      <alignment vertical="center"/>
    </xf>
    <xf numFmtId="0" fontId="73" fillId="0" borderId="98" xfId="0" applyFont="1" applyBorder="1" applyAlignment="1">
      <alignment vertical="top" wrapText="1"/>
    </xf>
    <xf numFmtId="0" fontId="73" fillId="2" borderId="31" xfId="0" applyFont="1" applyFill="1" applyBorder="1" applyAlignment="1">
      <alignment vertical="center" wrapText="1"/>
    </xf>
    <xf numFmtId="0" fontId="73" fillId="0" borderId="24" xfId="0" applyFont="1" applyBorder="1" applyAlignment="1">
      <alignment vertical="center" wrapText="1"/>
    </xf>
    <xf numFmtId="0" fontId="73" fillId="2" borderId="24" xfId="0" applyFont="1" applyFill="1" applyBorder="1">
      <alignment vertical="center"/>
    </xf>
    <xf numFmtId="0" fontId="73" fillId="2" borderId="95" xfId="0" applyFont="1" applyFill="1" applyBorder="1" applyAlignment="1">
      <alignment vertical="top" wrapText="1"/>
    </xf>
    <xf numFmtId="0" fontId="73" fillId="2" borderId="99" xfId="0" applyFont="1" applyFill="1" applyBorder="1" applyAlignment="1">
      <alignment vertical="center" wrapText="1"/>
    </xf>
    <xf numFmtId="0" fontId="73" fillId="2" borderId="100" xfId="0" applyFont="1" applyFill="1" applyBorder="1" applyAlignment="1">
      <alignment vertical="top" wrapText="1"/>
    </xf>
    <xf numFmtId="0" fontId="73" fillId="2" borderId="102" xfId="0" applyFont="1" applyFill="1" applyBorder="1" applyAlignment="1">
      <alignment horizontal="left" vertical="center"/>
    </xf>
    <xf numFmtId="0" fontId="73" fillId="2" borderId="100" xfId="0" applyFont="1" applyFill="1" applyBorder="1" applyAlignment="1">
      <alignment horizontal="left" vertical="top" wrapText="1"/>
    </xf>
    <xf numFmtId="0" fontId="73" fillId="2" borderId="99" xfId="0" applyFont="1" applyFill="1" applyBorder="1" applyAlignment="1">
      <alignment horizontal="left" vertical="center" wrapText="1"/>
    </xf>
    <xf numFmtId="0" fontId="73" fillId="2" borderId="103" xfId="0" applyFont="1" applyFill="1" applyBorder="1" applyAlignment="1">
      <alignment horizontal="left" vertical="center" wrapText="1"/>
    </xf>
    <xf numFmtId="0" fontId="73" fillId="0" borderId="104" xfId="0" applyFont="1" applyBorder="1">
      <alignment vertical="center"/>
    </xf>
    <xf numFmtId="0" fontId="73" fillId="0" borderId="105" xfId="0" applyFont="1" applyBorder="1" applyAlignment="1">
      <alignment vertical="top" wrapText="1"/>
    </xf>
    <xf numFmtId="0" fontId="73" fillId="0" borderId="97" xfId="0" applyFont="1" applyBorder="1" applyAlignment="1">
      <alignment vertical="top"/>
    </xf>
    <xf numFmtId="0" fontId="73" fillId="80" borderId="97" xfId="0" applyFont="1" applyFill="1" applyBorder="1" applyAlignment="1">
      <alignment vertical="top"/>
    </xf>
    <xf numFmtId="0" fontId="73" fillId="0" borderId="106" xfId="0" applyFont="1" applyBorder="1">
      <alignment vertical="center"/>
    </xf>
    <xf numFmtId="0" fontId="73" fillId="0" borderId="103" xfId="0" applyFont="1" applyBorder="1">
      <alignment vertical="center"/>
    </xf>
    <xf numFmtId="0" fontId="73" fillId="0" borderId="107" xfId="0" applyFont="1" applyBorder="1" applyAlignment="1">
      <alignment vertical="top" wrapText="1"/>
    </xf>
    <xf numFmtId="0" fontId="73" fillId="2" borderId="108" xfId="0" applyFont="1" applyFill="1" applyBorder="1">
      <alignment vertical="center"/>
    </xf>
    <xf numFmtId="0" fontId="73" fillId="0" borderId="0" xfId="0" applyFont="1" applyAlignment="1">
      <alignment horizontal="right" vertical="center"/>
    </xf>
    <xf numFmtId="0" fontId="73" fillId="2" borderId="96" xfId="0" applyFont="1" applyFill="1" applyBorder="1">
      <alignment vertical="center"/>
    </xf>
    <xf numFmtId="0" fontId="73" fillId="2" borderId="103" xfId="0" applyFont="1" applyFill="1" applyBorder="1">
      <alignment vertical="center"/>
    </xf>
    <xf numFmtId="0" fontId="40" fillId="0" borderId="107" xfId="0" applyFont="1" applyBorder="1" applyAlignment="1">
      <alignment vertical="top" wrapText="1"/>
    </xf>
    <xf numFmtId="0" fontId="73" fillId="2" borderId="109" xfId="0" applyFont="1" applyFill="1" applyBorder="1" applyAlignment="1">
      <alignment vertical="center" wrapText="1"/>
    </xf>
    <xf numFmtId="0" fontId="73" fillId="2" borderId="150" xfId="0" applyFont="1" applyFill="1" applyBorder="1">
      <alignment vertical="center"/>
    </xf>
    <xf numFmtId="0" fontId="73" fillId="2" borderId="151" xfId="0" applyFont="1" applyFill="1" applyBorder="1" applyAlignment="1">
      <alignment vertical="top" wrapText="1"/>
    </xf>
    <xf numFmtId="0" fontId="73" fillId="2" borderId="110" xfId="0" applyFont="1" applyFill="1" applyBorder="1">
      <alignment vertical="center"/>
    </xf>
    <xf numFmtId="0" fontId="73" fillId="80" borderId="101" xfId="0" applyFont="1" applyFill="1" applyBorder="1" applyAlignment="1">
      <alignment vertical="top" wrapText="1"/>
    </xf>
    <xf numFmtId="0" fontId="73" fillId="2" borderId="15" xfId="0" applyFont="1" applyFill="1" applyBorder="1">
      <alignment vertical="center"/>
    </xf>
    <xf numFmtId="0" fontId="73" fillId="0" borderId="102" xfId="0" applyFont="1" applyBorder="1" applyAlignment="1">
      <alignment horizontal="left" vertical="center"/>
    </xf>
    <xf numFmtId="0" fontId="73" fillId="0" borderId="102" xfId="0" applyFont="1" applyBorder="1" applyAlignment="1">
      <alignment horizontal="left" vertical="center" wrapText="1"/>
    </xf>
    <xf numFmtId="0" fontId="73" fillId="0" borderId="100" xfId="0" applyFont="1" applyBorder="1" applyAlignment="1">
      <alignment vertical="top" wrapText="1"/>
    </xf>
    <xf numFmtId="0" fontId="73" fillId="2" borderId="108" xfId="0" applyFont="1" applyFill="1" applyBorder="1" applyAlignment="1">
      <alignment vertical="center" wrapText="1"/>
    </xf>
    <xf numFmtId="0" fontId="73" fillId="2" borderId="105" xfId="0" applyFont="1" applyFill="1" applyBorder="1" applyAlignment="1">
      <alignment vertical="top"/>
    </xf>
    <xf numFmtId="0" fontId="73" fillId="2" borderId="111" xfId="0" applyFont="1" applyFill="1" applyBorder="1" applyAlignment="1">
      <alignment vertical="center" wrapText="1"/>
    </xf>
    <xf numFmtId="0" fontId="127" fillId="0" borderId="0" xfId="0" applyFont="1">
      <alignment vertical="center"/>
    </xf>
    <xf numFmtId="0" fontId="76" fillId="0" borderId="13" xfId="0" applyFont="1" applyBorder="1" applyAlignment="1">
      <alignment horizontal="center" vertical="center" wrapText="1"/>
    </xf>
    <xf numFmtId="0" fontId="76" fillId="0" borderId="7" xfId="0" applyFont="1" applyBorder="1">
      <alignment vertical="center"/>
    </xf>
    <xf numFmtId="0" fontId="76" fillId="0" borderId="8" xfId="0" applyFont="1" applyBorder="1">
      <alignment vertical="center"/>
    </xf>
    <xf numFmtId="0" fontId="76" fillId="0" borderId="13" xfId="0" applyFont="1" applyBorder="1" applyAlignment="1">
      <alignment horizontal="distributed" vertical="center"/>
    </xf>
    <xf numFmtId="0" fontId="79" fillId="0" borderId="25" xfId="0" applyFont="1" applyBorder="1" applyAlignment="1">
      <alignment horizontal="center" wrapText="1"/>
    </xf>
    <xf numFmtId="0" fontId="79" fillId="0" borderId="26" xfId="0" applyFont="1" applyBorder="1" applyAlignment="1">
      <alignment horizontal="center" wrapText="1"/>
    </xf>
    <xf numFmtId="0" fontId="76" fillId="0" borderId="47" xfId="0" applyFont="1" applyBorder="1" applyAlignment="1">
      <alignment horizontal="center" vertical="center"/>
    </xf>
    <xf numFmtId="0" fontId="76" fillId="0" borderId="18" xfId="0" applyFont="1" applyBorder="1" applyAlignment="1">
      <alignment horizontal="center" shrinkToFit="1"/>
    </xf>
    <xf numFmtId="0" fontId="76" fillId="0" borderId="18" xfId="0" applyFont="1" applyBorder="1" applyAlignment="1">
      <alignment horizontal="distributed" shrinkToFit="1"/>
    </xf>
    <xf numFmtId="0" fontId="76" fillId="0" borderId="18" xfId="0" applyFont="1" applyBorder="1" applyAlignment="1">
      <alignment shrinkToFit="1"/>
    </xf>
    <xf numFmtId="0" fontId="76" fillId="0" borderId="56" xfId="0" applyFont="1" applyBorder="1" applyAlignment="1">
      <alignment horizontal="center" shrinkToFit="1"/>
    </xf>
    <xf numFmtId="0" fontId="76" fillId="0" borderId="51" xfId="0" applyFont="1" applyBorder="1">
      <alignment vertical="center"/>
    </xf>
    <xf numFmtId="0" fontId="76" fillId="0" borderId="19" xfId="0" applyFont="1" applyBorder="1" applyAlignment="1">
      <alignment horizontal="center"/>
    </xf>
    <xf numFmtId="0" fontId="76" fillId="0" borderId="48" xfId="0" applyFont="1" applyBorder="1" applyAlignment="1">
      <alignment horizontal="center" vertical="center"/>
    </xf>
    <xf numFmtId="0" fontId="76" fillId="0" borderId="38" xfId="0" applyFont="1" applyBorder="1" applyAlignment="1">
      <alignment horizontal="center" vertical="top" shrinkToFit="1"/>
    </xf>
    <xf numFmtId="0" fontId="76" fillId="0" borderId="6" xfId="0" applyFont="1" applyBorder="1" applyAlignment="1">
      <alignment horizontal="distributed" vertical="top" shrinkToFit="1"/>
    </xf>
    <xf numFmtId="0" fontId="76" fillId="0" borderId="6" xfId="0" applyFont="1" applyBorder="1" applyAlignment="1">
      <alignment horizontal="center" vertical="top" shrinkToFit="1"/>
    </xf>
    <xf numFmtId="0" fontId="76" fillId="0" borderId="48" xfId="0" applyFont="1" applyBorder="1" applyAlignment="1">
      <alignment horizontal="center" vertical="top" shrinkToFit="1"/>
    </xf>
    <xf numFmtId="0" fontId="76" fillId="0" borderId="38" xfId="0" applyFont="1" applyBorder="1">
      <alignment vertical="center"/>
    </xf>
    <xf numFmtId="0" fontId="76" fillId="0" borderId="11" xfId="0" applyFont="1" applyBorder="1" applyAlignment="1">
      <alignment horizontal="center" vertical="top"/>
    </xf>
    <xf numFmtId="0" fontId="79" fillId="0" borderId="6" xfId="0" applyFont="1" applyBorder="1" applyAlignment="1">
      <alignment horizontal="center" vertical="top" wrapText="1"/>
    </xf>
    <xf numFmtId="0" fontId="79" fillId="0" borderId="52" xfId="0" applyFont="1" applyBorder="1" applyAlignment="1">
      <alignment horizontal="center" vertical="top" wrapText="1"/>
    </xf>
    <xf numFmtId="0" fontId="79" fillId="0" borderId="40" xfId="0" applyFont="1" applyBorder="1" applyAlignment="1">
      <alignment horizontal="right" vertical="center"/>
    </xf>
    <xf numFmtId="0" fontId="79" fillId="0" borderId="82" xfId="0" applyFont="1" applyBorder="1" applyAlignment="1">
      <alignment horizontal="right" vertical="center"/>
    </xf>
    <xf numFmtId="0" fontId="79" fillId="0" borderId="45" xfId="0" applyFont="1" applyBorder="1" applyAlignment="1">
      <alignment horizontal="right" vertical="center"/>
    </xf>
    <xf numFmtId="0" fontId="79" fillId="0" borderId="41" xfId="0" applyFont="1" applyBorder="1" applyAlignment="1">
      <alignment horizontal="right" vertical="center"/>
    </xf>
    <xf numFmtId="0" fontId="79" fillId="0" borderId="46" xfId="0" applyFont="1" applyBorder="1" applyAlignment="1">
      <alignment horizontal="right" vertical="center"/>
    </xf>
    <xf numFmtId="0" fontId="79" fillId="0" borderId="42" xfId="0" applyFont="1" applyBorder="1" applyAlignment="1">
      <alignment horizontal="right" vertical="center"/>
    </xf>
    <xf numFmtId="0" fontId="76" fillId="5" borderId="32" xfId="0" applyFont="1" applyFill="1" applyBorder="1" applyAlignment="1">
      <alignment horizontal="center" vertical="center"/>
    </xf>
    <xf numFmtId="177" fontId="86" fillId="5" borderId="60" xfId="0" applyNumberFormat="1" applyFont="1" applyFill="1" applyBorder="1" applyAlignment="1" applyProtection="1">
      <alignment horizontal="right" vertical="center"/>
      <protection locked="0"/>
    </xf>
    <xf numFmtId="178" fontId="86" fillId="5" borderId="0" xfId="0" applyNumberFormat="1" applyFont="1" applyFill="1" applyAlignment="1" applyProtection="1">
      <alignment horizontal="right" vertical="center"/>
      <protection locked="0"/>
    </xf>
    <xf numFmtId="180" fontId="86" fillId="5" borderId="47" xfId="0" applyNumberFormat="1" applyFont="1" applyFill="1" applyBorder="1" applyAlignment="1" applyProtection="1">
      <alignment horizontal="right" vertical="center"/>
      <protection locked="0"/>
    </xf>
    <xf numFmtId="178" fontId="86" fillId="5" borderId="25" xfId="0" applyNumberFormat="1" applyFont="1" applyFill="1" applyBorder="1" applyAlignment="1" applyProtection="1">
      <alignment horizontal="right" vertical="center"/>
      <protection locked="0"/>
    </xf>
    <xf numFmtId="178" fontId="86" fillId="5" borderId="33" xfId="0" applyNumberFormat="1" applyFont="1" applyFill="1" applyBorder="1" applyAlignment="1" applyProtection="1">
      <alignment horizontal="right" vertical="center"/>
      <protection locked="0"/>
    </xf>
    <xf numFmtId="178" fontId="86" fillId="5" borderId="26" xfId="0" applyNumberFormat="1" applyFont="1" applyFill="1" applyBorder="1" applyAlignment="1" applyProtection="1">
      <alignment horizontal="right" vertical="center"/>
      <protection locked="0"/>
    </xf>
    <xf numFmtId="189" fontId="86" fillId="5" borderId="24" xfId="0" applyNumberFormat="1" applyFont="1" applyFill="1" applyBorder="1" applyAlignment="1" applyProtection="1">
      <alignment horizontal="right" vertical="center"/>
      <protection locked="0"/>
    </xf>
    <xf numFmtId="0" fontId="86" fillId="5" borderId="25" xfId="0" applyFont="1" applyFill="1" applyBorder="1" applyAlignment="1" applyProtection="1">
      <alignment horizontal="right" vertical="center"/>
      <protection locked="0"/>
    </xf>
    <xf numFmtId="177" fontId="86" fillId="5" borderId="60" xfId="0" applyNumberFormat="1" applyFont="1" applyFill="1" applyBorder="1" applyAlignment="1">
      <alignment horizontal="right" vertical="center"/>
    </xf>
    <xf numFmtId="177" fontId="86" fillId="5" borderId="53" xfId="0" applyNumberFormat="1" applyFont="1" applyFill="1" applyBorder="1" applyAlignment="1" applyProtection="1">
      <alignment horizontal="right" vertical="center"/>
      <protection locked="0"/>
    </xf>
    <xf numFmtId="177" fontId="84" fillId="2" borderId="47" xfId="0" applyNumberFormat="1" applyFont="1" applyFill="1" applyBorder="1" applyAlignment="1" applyProtection="1">
      <alignment horizontal="right" vertical="center"/>
      <protection locked="0"/>
    </xf>
    <xf numFmtId="177" fontId="84" fillId="2" borderId="51" xfId="0" applyNumberFormat="1" applyFont="1" applyFill="1" applyBorder="1" applyAlignment="1" applyProtection="1">
      <alignment horizontal="right" vertical="center"/>
      <protection locked="0"/>
    </xf>
    <xf numFmtId="178" fontId="84" fillId="2" borderId="4" xfId="0" applyNumberFormat="1" applyFont="1" applyFill="1" applyBorder="1" applyAlignment="1" applyProtection="1">
      <alignment horizontal="right" vertical="center"/>
      <protection locked="0"/>
    </xf>
    <xf numFmtId="177" fontId="84" fillId="2" borderId="4" xfId="0" applyNumberFormat="1" applyFont="1" applyFill="1" applyBorder="1" applyAlignment="1" applyProtection="1">
      <alignment horizontal="right" vertical="center"/>
      <protection locked="0"/>
    </xf>
    <xf numFmtId="178" fontId="84" fillId="2" borderId="0" xfId="0" applyNumberFormat="1" applyFont="1" applyFill="1" applyAlignment="1" applyProtection="1">
      <alignment horizontal="right" vertical="center"/>
      <protection locked="0"/>
    </xf>
    <xf numFmtId="180" fontId="84" fillId="2" borderId="47" xfId="0" applyNumberFormat="1" applyFont="1" applyFill="1" applyBorder="1" applyAlignment="1" applyProtection="1">
      <alignment horizontal="right" vertical="center"/>
      <protection locked="0"/>
    </xf>
    <xf numFmtId="178" fontId="84" fillId="2" borderId="51" xfId="0" applyNumberFormat="1" applyFont="1" applyFill="1" applyBorder="1" applyAlignment="1" applyProtection="1">
      <alignment horizontal="right" vertical="center"/>
      <protection locked="0"/>
    </xf>
    <xf numFmtId="177" fontId="84" fillId="2" borderId="53" xfId="0" quotePrefix="1" applyNumberFormat="1" applyFont="1" applyFill="1" applyBorder="1" applyAlignment="1" applyProtection="1">
      <alignment horizontal="right" vertical="center"/>
      <protection locked="0"/>
    </xf>
    <xf numFmtId="178" fontId="86" fillId="81" borderId="15" xfId="0" applyNumberFormat="1" applyFont="1" applyFill="1" applyBorder="1" applyAlignment="1" applyProtection="1">
      <alignment horizontal="right" vertical="center" shrinkToFit="1"/>
      <protection locked="0"/>
    </xf>
    <xf numFmtId="177" fontId="86" fillId="2" borderId="47" xfId="0" applyNumberFormat="1" applyFont="1" applyFill="1" applyBorder="1" applyAlignment="1" applyProtection="1">
      <alignment horizontal="right" vertical="center"/>
      <protection locked="0"/>
    </xf>
    <xf numFmtId="177" fontId="86" fillId="2" borderId="51" xfId="0" applyNumberFormat="1" applyFont="1" applyFill="1" applyBorder="1" applyAlignment="1" applyProtection="1">
      <alignment horizontal="right" vertical="center"/>
      <protection locked="0"/>
    </xf>
    <xf numFmtId="178" fontId="86" fillId="2" borderId="4" xfId="0" applyNumberFormat="1" applyFont="1" applyFill="1" applyBorder="1" applyAlignment="1" applyProtection="1">
      <alignment horizontal="right" vertical="center"/>
      <protection locked="0"/>
    </xf>
    <xf numFmtId="178" fontId="86" fillId="0" borderId="0" xfId="0" applyNumberFormat="1" applyFont="1" applyAlignment="1" applyProtection="1">
      <alignment horizontal="right" vertical="center"/>
      <protection locked="0"/>
    </xf>
    <xf numFmtId="180" fontId="86" fillId="2" borderId="47" xfId="0" applyNumberFormat="1" applyFont="1" applyFill="1" applyBorder="1" applyAlignment="1" applyProtection="1">
      <alignment horizontal="right" vertical="center"/>
      <protection locked="0"/>
    </xf>
    <xf numFmtId="178" fontId="86" fillId="2" borderId="51" xfId="0" applyNumberFormat="1" applyFont="1" applyFill="1" applyBorder="1" applyAlignment="1" applyProtection="1">
      <alignment horizontal="right" vertical="center"/>
      <protection locked="0"/>
    </xf>
    <xf numFmtId="189" fontId="86" fillId="2" borderId="15" xfId="0" applyNumberFormat="1" applyFont="1" applyFill="1" applyBorder="1" applyAlignment="1" applyProtection="1">
      <alignment horizontal="right" vertical="center"/>
      <protection locked="0"/>
    </xf>
    <xf numFmtId="1" fontId="86" fillId="2" borderId="47" xfId="0" applyNumberFormat="1" applyFont="1" applyFill="1" applyBorder="1" applyAlignment="1">
      <alignment horizontal="right" vertical="center"/>
    </xf>
    <xf numFmtId="189" fontId="86" fillId="5" borderId="15" xfId="0" applyNumberFormat="1" applyFont="1" applyFill="1" applyBorder="1" applyAlignment="1" applyProtection="1">
      <alignment horizontal="right" vertical="center"/>
      <protection locked="0"/>
    </xf>
    <xf numFmtId="177" fontId="86" fillId="80" borderId="47" xfId="0" applyNumberFormat="1" applyFont="1" applyFill="1" applyBorder="1" applyAlignment="1" applyProtection="1">
      <alignment horizontal="right" vertical="center"/>
      <protection locked="0"/>
    </xf>
    <xf numFmtId="177" fontId="86" fillId="80" borderId="4" xfId="0" applyNumberFormat="1" applyFont="1" applyFill="1" applyBorder="1" applyAlignment="1" applyProtection="1">
      <alignment horizontal="right" vertical="center"/>
      <protection locked="0"/>
    </xf>
    <xf numFmtId="178" fontId="86" fillId="80" borderId="4" xfId="0" applyNumberFormat="1" applyFont="1" applyFill="1" applyBorder="1" applyAlignment="1" applyProtection="1">
      <alignment horizontal="right" vertical="center"/>
      <protection locked="0"/>
    </xf>
    <xf numFmtId="177" fontId="86" fillId="80" borderId="51" xfId="0" applyNumberFormat="1" applyFont="1" applyFill="1" applyBorder="1" applyAlignment="1" applyProtection="1">
      <alignment horizontal="right" vertical="center"/>
      <protection locked="0"/>
    </xf>
    <xf numFmtId="178" fontId="86" fillId="80" borderId="0" xfId="0" applyNumberFormat="1" applyFont="1" applyFill="1" applyAlignment="1" applyProtection="1">
      <alignment horizontal="right" vertical="center"/>
      <protection locked="0"/>
    </xf>
    <xf numFmtId="180" fontId="86" fillId="0" borderId="47" xfId="0" applyNumberFormat="1" applyFont="1" applyBorder="1" applyAlignment="1" applyProtection="1">
      <alignment horizontal="right" vertical="center"/>
      <protection locked="0"/>
    </xf>
    <xf numFmtId="189" fontId="86" fillId="0" borderId="15" xfId="0" applyNumberFormat="1" applyFont="1" applyBorder="1" applyAlignment="1" applyProtection="1">
      <alignment horizontal="right" vertical="center"/>
      <protection locked="0"/>
    </xf>
    <xf numFmtId="177" fontId="86" fillId="80" borderId="53" xfId="0" applyNumberFormat="1" applyFont="1" applyFill="1" applyBorder="1" applyAlignment="1" applyProtection="1">
      <alignment horizontal="right" vertical="center"/>
      <protection locked="0"/>
    </xf>
    <xf numFmtId="177" fontId="86" fillId="0" borderId="53" xfId="0" applyNumberFormat="1" applyFont="1" applyBorder="1" applyAlignment="1" applyProtection="1">
      <alignment horizontal="right" vertical="center"/>
      <protection locked="0"/>
    </xf>
    <xf numFmtId="189" fontId="86" fillId="0" borderId="47" xfId="0" applyNumberFormat="1" applyFont="1" applyBorder="1" applyProtection="1">
      <alignment vertical="center"/>
      <protection locked="0"/>
    </xf>
    <xf numFmtId="49" fontId="86" fillId="0" borderId="15" xfId="0" applyNumberFormat="1" applyFont="1" applyBorder="1" applyAlignment="1" applyProtection="1">
      <alignment horizontal="right" vertical="center"/>
      <protection locked="0"/>
    </xf>
    <xf numFmtId="49" fontId="86" fillId="81" borderId="15" xfId="0" applyNumberFormat="1" applyFont="1" applyFill="1" applyBorder="1" applyAlignment="1" applyProtection="1">
      <alignment horizontal="right" vertical="center"/>
      <protection locked="0"/>
    </xf>
    <xf numFmtId="178" fontId="86" fillId="0" borderId="15" xfId="0" quotePrefix="1" applyNumberFormat="1" applyFont="1" applyBorder="1" applyAlignment="1" applyProtection="1">
      <alignment horizontal="right" vertical="center"/>
      <protection locked="0"/>
    </xf>
    <xf numFmtId="177" fontId="86" fillId="0" borderId="53" xfId="0" quotePrefix="1" applyNumberFormat="1" applyFont="1" applyBorder="1" applyAlignment="1" applyProtection="1">
      <alignment horizontal="right" vertical="center"/>
      <protection locked="0"/>
    </xf>
    <xf numFmtId="177" fontId="86" fillId="0" borderId="51" xfId="0" applyNumberFormat="1" applyFont="1" applyBorder="1" applyAlignment="1" applyProtection="1">
      <alignment horizontal="right" vertical="center" wrapText="1"/>
      <protection locked="0"/>
    </xf>
    <xf numFmtId="189" fontId="86" fillId="0" borderId="15" xfId="0" quotePrefix="1" applyNumberFormat="1" applyFont="1" applyBorder="1" applyAlignment="1" applyProtection="1">
      <alignment horizontal="right" vertical="center"/>
      <protection locked="0"/>
    </xf>
    <xf numFmtId="180" fontId="86" fillId="81" borderId="47" xfId="0" applyNumberFormat="1" applyFont="1" applyFill="1" applyBorder="1">
      <alignment vertical="center"/>
    </xf>
    <xf numFmtId="190" fontId="86" fillId="81" borderId="0" xfId="0" applyNumberFormat="1" applyFont="1" applyFill="1">
      <alignment vertical="center"/>
    </xf>
    <xf numFmtId="190" fontId="75" fillId="81" borderId="0" xfId="0" applyNumberFormat="1" applyFont="1" applyFill="1">
      <alignment vertical="center"/>
    </xf>
    <xf numFmtId="178" fontId="86" fillId="0" borderId="0" xfId="142" applyNumberFormat="1" applyFont="1" applyAlignment="1" applyProtection="1">
      <alignment horizontal="right" vertical="center"/>
      <protection locked="0"/>
    </xf>
    <xf numFmtId="177" fontId="86" fillId="82" borderId="47" xfId="0" applyNumberFormat="1" applyFont="1" applyFill="1" applyBorder="1" applyAlignment="1" applyProtection="1">
      <alignment horizontal="right" vertical="center"/>
      <protection locked="0"/>
    </xf>
    <xf numFmtId="177" fontId="86" fillId="82" borderId="51" xfId="0" applyNumberFormat="1" applyFont="1" applyFill="1" applyBorder="1" applyAlignment="1" applyProtection="1">
      <alignment horizontal="right" vertical="center"/>
      <protection locked="0"/>
    </xf>
    <xf numFmtId="180" fontId="86" fillId="82" borderId="47" xfId="0" applyNumberFormat="1" applyFont="1" applyFill="1" applyBorder="1" applyAlignment="1" applyProtection="1">
      <alignment horizontal="right" vertical="center"/>
      <protection locked="0"/>
    </xf>
    <xf numFmtId="178" fontId="86" fillId="82" borderId="51" xfId="0" applyNumberFormat="1" applyFont="1" applyFill="1" applyBorder="1" applyAlignment="1" applyProtection="1">
      <alignment horizontal="right" vertical="center"/>
      <protection locked="0"/>
    </xf>
    <xf numFmtId="189" fontId="86" fillId="82" borderId="15" xfId="0" applyNumberFormat="1" applyFont="1" applyFill="1" applyBorder="1" applyAlignment="1" applyProtection="1">
      <alignment horizontal="right" vertical="center"/>
      <protection locked="0"/>
    </xf>
    <xf numFmtId="177" fontId="86" fillId="82" borderId="53" xfId="0" applyNumberFormat="1" applyFont="1" applyFill="1" applyBorder="1" applyAlignment="1" applyProtection="1">
      <alignment horizontal="right" vertical="center"/>
      <protection locked="0"/>
    </xf>
    <xf numFmtId="180" fontId="86" fillId="81" borderId="47" xfId="0" applyNumberFormat="1" applyFont="1" applyFill="1" applyBorder="1" applyAlignment="1" applyProtection="1">
      <alignment horizontal="right" vertical="center" shrinkToFit="1"/>
      <protection locked="0"/>
    </xf>
    <xf numFmtId="177" fontId="84" fillId="0" borderId="47" xfId="0" applyNumberFormat="1" applyFont="1" applyBorder="1" applyAlignment="1" applyProtection="1">
      <alignment horizontal="right" vertical="center"/>
      <protection locked="0"/>
    </xf>
    <xf numFmtId="177" fontId="84" fillId="0" borderId="51" xfId="0" applyNumberFormat="1" applyFont="1" applyBorder="1" applyAlignment="1" applyProtection="1">
      <alignment horizontal="right" vertical="center"/>
      <protection locked="0"/>
    </xf>
    <xf numFmtId="178" fontId="84" fillId="0" borderId="51" xfId="0" applyNumberFormat="1" applyFont="1" applyBorder="1" applyAlignment="1" applyProtection="1">
      <alignment horizontal="right" vertical="center"/>
      <protection locked="0"/>
    </xf>
    <xf numFmtId="177" fontId="84" fillId="0" borderId="53" xfId="0" applyNumberFormat="1" applyFont="1" applyBorder="1" applyAlignment="1" applyProtection="1">
      <alignment horizontal="right" vertical="center"/>
      <protection locked="0"/>
    </xf>
    <xf numFmtId="178" fontId="86" fillId="82" borderId="0" xfId="0" applyNumberFormat="1" applyFont="1" applyFill="1" applyAlignment="1" applyProtection="1">
      <alignment horizontal="right" vertical="center"/>
      <protection locked="0"/>
    </xf>
    <xf numFmtId="177" fontId="86" fillId="82" borderId="47" xfId="0" applyNumberFormat="1" applyFont="1" applyFill="1" applyBorder="1" applyAlignment="1">
      <alignment horizontal="right" vertical="center"/>
    </xf>
    <xf numFmtId="177" fontId="86" fillId="0" borderId="64" xfId="0" applyNumberFormat="1" applyFont="1" applyBorder="1" applyAlignment="1" applyProtection="1">
      <alignment horizontal="right" vertical="center"/>
      <protection locked="0"/>
    </xf>
    <xf numFmtId="180" fontId="86" fillId="0" borderId="79" xfId="0" applyNumberFormat="1" applyFont="1" applyBorder="1" applyAlignment="1" applyProtection="1">
      <alignment horizontal="right" vertical="center"/>
      <protection locked="0"/>
    </xf>
    <xf numFmtId="177" fontId="86" fillId="0" borderId="65" xfId="0" applyNumberFormat="1" applyFont="1" applyBorder="1" applyAlignment="1" applyProtection="1">
      <alignment horizontal="right" vertical="center"/>
      <protection locked="0"/>
    </xf>
    <xf numFmtId="178" fontId="86" fillId="0" borderId="62" xfId="0" applyNumberFormat="1" applyFont="1" applyBorder="1" applyAlignment="1" applyProtection="1">
      <alignment horizontal="right" vertical="center"/>
      <protection locked="0"/>
    </xf>
    <xf numFmtId="177" fontId="86" fillId="0" borderId="63" xfId="0" applyNumberFormat="1" applyFont="1" applyBorder="1" applyAlignment="1" applyProtection="1">
      <alignment horizontal="right" vertical="center"/>
      <protection locked="0"/>
    </xf>
    <xf numFmtId="178" fontId="86" fillId="0" borderId="64" xfId="0" applyNumberFormat="1" applyFont="1" applyBorder="1" applyAlignment="1" applyProtection="1">
      <alignment horizontal="right" vertical="center"/>
      <protection locked="0"/>
    </xf>
    <xf numFmtId="189" fontId="86" fillId="80" borderId="15" xfId="0" applyNumberFormat="1" applyFont="1" applyFill="1" applyBorder="1" applyAlignment="1" applyProtection="1">
      <alignment horizontal="right" vertical="center"/>
      <protection locked="0"/>
    </xf>
    <xf numFmtId="178" fontId="86" fillId="80" borderId="64" xfId="0" applyNumberFormat="1" applyFont="1" applyFill="1" applyBorder="1" applyAlignment="1" applyProtection="1">
      <alignment horizontal="right" vertical="center"/>
      <protection locked="0"/>
    </xf>
    <xf numFmtId="0" fontId="86" fillId="80" borderId="64" xfId="0" applyFont="1" applyFill="1" applyBorder="1" applyAlignment="1" applyProtection="1">
      <alignment horizontal="right" vertical="center"/>
      <protection locked="0"/>
    </xf>
    <xf numFmtId="178" fontId="86" fillId="80" borderId="63" xfId="0" applyNumberFormat="1" applyFont="1" applyFill="1" applyBorder="1" applyAlignment="1" applyProtection="1">
      <alignment horizontal="right" vertical="center"/>
      <protection locked="0"/>
    </xf>
    <xf numFmtId="0" fontId="76" fillId="81" borderId="78" xfId="0" applyFont="1" applyFill="1" applyBorder="1" applyAlignment="1">
      <alignment horizontal="center" vertical="center"/>
    </xf>
    <xf numFmtId="177" fontId="86" fillId="5" borderId="69" xfId="0" applyNumberFormat="1" applyFont="1" applyFill="1" applyBorder="1" applyProtection="1">
      <alignment vertical="center"/>
      <protection locked="0"/>
    </xf>
    <xf numFmtId="177" fontId="86" fillId="5" borderId="70" xfId="0" applyNumberFormat="1" applyFont="1" applyFill="1" applyBorder="1" applyProtection="1">
      <alignment vertical="center"/>
      <protection locked="0"/>
    </xf>
    <xf numFmtId="178" fontId="86" fillId="5" borderId="71" xfId="0" applyNumberFormat="1" applyFont="1" applyFill="1" applyBorder="1" applyAlignment="1" applyProtection="1">
      <alignment horizontal="right" vertical="center"/>
      <protection locked="0"/>
    </xf>
    <xf numFmtId="177" fontId="86" fillId="5" borderId="71" xfId="0" applyNumberFormat="1" applyFont="1" applyFill="1" applyBorder="1" applyAlignment="1" applyProtection="1">
      <alignment horizontal="right" vertical="center"/>
      <protection locked="0"/>
    </xf>
    <xf numFmtId="177" fontId="86" fillId="5" borderId="71" xfId="0" applyNumberFormat="1" applyFont="1" applyFill="1" applyBorder="1" applyProtection="1">
      <alignment vertical="center"/>
      <protection locked="0"/>
    </xf>
    <xf numFmtId="180" fontId="86" fillId="5" borderId="72" xfId="0" applyNumberFormat="1" applyFont="1" applyFill="1" applyBorder="1" applyAlignment="1" applyProtection="1">
      <alignment horizontal="right" vertical="center"/>
      <protection locked="0"/>
    </xf>
    <xf numFmtId="177" fontId="86" fillId="5" borderId="69" xfId="0" applyNumberFormat="1" applyFont="1" applyFill="1" applyBorder="1" applyAlignment="1" applyProtection="1">
      <alignment horizontal="right" vertical="center"/>
      <protection locked="0"/>
    </xf>
    <xf numFmtId="177" fontId="86" fillId="5" borderId="70" xfId="0" applyNumberFormat="1" applyFont="1" applyFill="1" applyBorder="1" applyAlignment="1" applyProtection="1">
      <alignment horizontal="right" vertical="center"/>
      <protection locked="0"/>
    </xf>
    <xf numFmtId="178" fontId="86" fillId="5" borderId="73" xfId="0" applyNumberFormat="1" applyFont="1" applyFill="1" applyBorder="1" applyAlignment="1" applyProtection="1">
      <alignment horizontal="right" vertical="center"/>
      <protection locked="0"/>
    </xf>
    <xf numFmtId="177" fontId="86" fillId="5" borderId="73" xfId="0" applyNumberFormat="1" applyFont="1" applyFill="1" applyBorder="1" applyAlignment="1" applyProtection="1">
      <alignment horizontal="right" vertical="center"/>
      <protection locked="0"/>
    </xf>
    <xf numFmtId="178" fontId="86" fillId="5" borderId="72" xfId="0" applyNumberFormat="1" applyFont="1" applyFill="1" applyBorder="1" applyAlignment="1">
      <alignment horizontal="right" vertical="center"/>
    </xf>
    <xf numFmtId="180" fontId="86" fillId="5" borderId="69" xfId="0" applyNumberFormat="1" applyFont="1" applyFill="1" applyBorder="1" applyProtection="1">
      <alignment vertical="center"/>
      <protection locked="0"/>
    </xf>
    <xf numFmtId="178" fontId="86" fillId="5" borderId="71" xfId="0" applyNumberFormat="1" applyFont="1" applyFill="1" applyBorder="1" applyProtection="1">
      <alignment vertical="center"/>
      <protection locked="0"/>
    </xf>
    <xf numFmtId="178" fontId="86" fillId="5" borderId="72" xfId="0" applyNumberFormat="1" applyFont="1" applyFill="1" applyBorder="1" applyProtection="1">
      <alignment vertical="center"/>
      <protection locked="0"/>
    </xf>
    <xf numFmtId="178" fontId="86" fillId="5" borderId="75" xfId="0" applyNumberFormat="1" applyFont="1" applyFill="1" applyBorder="1" applyAlignment="1" applyProtection="1">
      <alignment horizontal="right" vertical="center"/>
      <protection locked="0"/>
    </xf>
    <xf numFmtId="178" fontId="86" fillId="81" borderId="72" xfId="0" applyNumberFormat="1" applyFont="1" applyFill="1" applyBorder="1" applyAlignment="1" applyProtection="1">
      <alignment horizontal="right" vertical="center"/>
      <protection locked="0"/>
    </xf>
    <xf numFmtId="177" fontId="86" fillId="5" borderId="69" xfId="0" applyNumberFormat="1" applyFont="1" applyFill="1" applyBorder="1" applyAlignment="1">
      <alignment horizontal="right" vertical="center"/>
    </xf>
    <xf numFmtId="180" fontId="86" fillId="5" borderId="71" xfId="0" applyNumberFormat="1" applyFont="1" applyFill="1" applyBorder="1">
      <alignment vertical="center"/>
    </xf>
    <xf numFmtId="177" fontId="86" fillId="5" borderId="71" xfId="0" applyNumberFormat="1" applyFont="1" applyFill="1" applyBorder="1">
      <alignment vertical="center"/>
    </xf>
    <xf numFmtId="177" fontId="86" fillId="5" borderId="71" xfId="0" applyNumberFormat="1" applyFont="1" applyFill="1" applyBorder="1" applyAlignment="1">
      <alignment horizontal="right" vertical="center"/>
    </xf>
    <xf numFmtId="177" fontId="86" fillId="5" borderId="72" xfId="0" applyNumberFormat="1" applyFont="1" applyFill="1" applyBorder="1">
      <alignment vertical="center"/>
    </xf>
    <xf numFmtId="177" fontId="86" fillId="0" borderId="15" xfId="0" applyNumberFormat="1" applyFont="1" applyBorder="1" applyProtection="1">
      <alignment vertical="center"/>
      <protection locked="0"/>
    </xf>
    <xf numFmtId="177" fontId="86" fillId="0" borderId="41" xfId="0" applyNumberFormat="1" applyFont="1" applyBorder="1" applyProtection="1">
      <alignment vertical="center"/>
      <protection locked="0"/>
    </xf>
    <xf numFmtId="180" fontId="86" fillId="0" borderId="42" xfId="0" applyNumberFormat="1" applyFont="1" applyBorder="1" applyProtection="1">
      <alignment vertical="center"/>
      <protection locked="0"/>
    </xf>
    <xf numFmtId="177" fontId="86" fillId="0" borderId="47" xfId="0" applyNumberFormat="1" applyFont="1" applyBorder="1" applyProtection="1">
      <alignment vertical="center"/>
      <protection locked="0"/>
    </xf>
    <xf numFmtId="180" fontId="86" fillId="0" borderId="15" xfId="0" applyNumberFormat="1" applyFont="1" applyBorder="1" applyProtection="1">
      <alignment vertical="center"/>
      <protection locked="0"/>
    </xf>
    <xf numFmtId="177" fontId="86" fillId="0" borderId="53" xfId="0" applyNumberFormat="1" applyFont="1" applyBorder="1" applyProtection="1">
      <alignment vertical="center"/>
      <protection locked="0"/>
    </xf>
    <xf numFmtId="0" fontId="82" fillId="0" borderId="13" xfId="0" applyFont="1" applyBorder="1" applyAlignment="1">
      <alignment horizontal="left" vertical="center" wrapText="1"/>
    </xf>
    <xf numFmtId="0" fontId="77" fillId="0" borderId="13" xfId="0" applyFont="1" applyBorder="1" applyAlignment="1">
      <alignment horizontal="left" vertical="center" wrapText="1"/>
    </xf>
    <xf numFmtId="0" fontId="77" fillId="0" borderId="13" xfId="0" applyFont="1" applyBorder="1" applyAlignment="1">
      <alignment horizontal="left" vertical="center"/>
    </xf>
    <xf numFmtId="0" fontId="128" fillId="0" borderId="13" xfId="0" applyFont="1" applyBorder="1" applyAlignment="1">
      <alignment horizontal="left" vertical="center"/>
    </xf>
    <xf numFmtId="0" fontId="129" fillId="0" borderId="13" xfId="0" applyFont="1" applyBorder="1" applyAlignment="1">
      <alignment horizontal="left" vertical="center"/>
    </xf>
    <xf numFmtId="0" fontId="77" fillId="0" borderId="13" xfId="0" applyFont="1" applyBorder="1">
      <alignment vertical="center"/>
    </xf>
    <xf numFmtId="0" fontId="77" fillId="0" borderId="13" xfId="0" applyFont="1" applyBorder="1" applyAlignment="1">
      <alignment vertical="center" wrapText="1"/>
    </xf>
    <xf numFmtId="0" fontId="76" fillId="0" borderId="24" xfId="0" applyFont="1" applyBorder="1">
      <alignment vertical="center"/>
    </xf>
    <xf numFmtId="0" fontId="76" fillId="2" borderId="12" xfId="0" applyFont="1" applyFill="1" applyBorder="1">
      <alignment vertical="center"/>
    </xf>
    <xf numFmtId="0" fontId="76" fillId="2" borderId="17" xfId="0" applyFont="1" applyFill="1" applyBorder="1">
      <alignment vertical="center"/>
    </xf>
    <xf numFmtId="0" fontId="75" fillId="0" borderId="32" xfId="0" applyFont="1" applyBorder="1">
      <alignment vertical="center"/>
    </xf>
    <xf numFmtId="0" fontId="76" fillId="0" borderId="15" xfId="0" applyFont="1" applyBorder="1">
      <alignment vertical="center"/>
    </xf>
    <xf numFmtId="0" fontId="76" fillId="0" borderId="19" xfId="0" applyFont="1" applyBorder="1" applyAlignment="1">
      <alignment horizontal="center" vertical="center"/>
    </xf>
    <xf numFmtId="0" fontId="76" fillId="0" borderId="0" xfId="0" applyFont="1" applyAlignment="1">
      <alignment horizontal="center" vertical="center"/>
    </xf>
    <xf numFmtId="0" fontId="78" fillId="0" borderId="18" xfId="0" applyFont="1" applyBorder="1" applyAlignment="1">
      <alignment horizontal="center" vertical="center" wrapText="1"/>
    </xf>
    <xf numFmtId="0" fontId="79" fillId="2" borderId="34" xfId="0" applyFont="1" applyFill="1" applyBorder="1" applyAlignment="1">
      <alignment horizontal="right" vertical="center"/>
    </xf>
    <xf numFmtId="177" fontId="86" fillId="5" borderId="47" xfId="0" applyNumberFormat="1" applyFont="1" applyFill="1" applyBorder="1" applyProtection="1">
      <alignment vertical="center"/>
      <protection locked="0"/>
    </xf>
    <xf numFmtId="177" fontId="84" fillId="2" borderId="47" xfId="0" applyNumberFormat="1" applyFont="1" applyFill="1" applyBorder="1" applyProtection="1">
      <alignment vertical="center"/>
      <protection locked="0"/>
    </xf>
    <xf numFmtId="177" fontId="86" fillId="82" borderId="47" xfId="0" applyNumberFormat="1" applyFont="1" applyFill="1" applyBorder="1" applyProtection="1">
      <alignment vertical="center"/>
      <protection locked="0"/>
    </xf>
    <xf numFmtId="177" fontId="86" fillId="2" borderId="47" xfId="0" applyNumberFormat="1" applyFont="1" applyFill="1" applyBorder="1" applyProtection="1">
      <alignment vertical="center"/>
      <protection locked="0"/>
    </xf>
    <xf numFmtId="177" fontId="84" fillId="0" borderId="47" xfId="0" applyNumberFormat="1" applyFont="1" applyBorder="1" applyProtection="1">
      <alignment vertical="center"/>
      <protection locked="0"/>
    </xf>
    <xf numFmtId="178" fontId="86" fillId="0" borderId="63" xfId="0" applyNumberFormat="1" applyFont="1" applyBorder="1" applyAlignment="1" applyProtection="1">
      <alignment horizontal="right" vertical="center"/>
      <protection locked="0"/>
    </xf>
    <xf numFmtId="177" fontId="86" fillId="81" borderId="75" xfId="0" applyNumberFormat="1" applyFont="1" applyFill="1" applyBorder="1">
      <alignment vertical="center"/>
    </xf>
    <xf numFmtId="177" fontId="86" fillId="81" borderId="71" xfId="0" applyNumberFormat="1" applyFont="1" applyFill="1" applyBorder="1" applyAlignment="1">
      <alignment horizontal="right" vertical="center"/>
    </xf>
    <xf numFmtId="177" fontId="86" fillId="81" borderId="71" xfId="0" applyNumberFormat="1" applyFont="1" applyFill="1" applyBorder="1">
      <alignment vertical="center"/>
    </xf>
    <xf numFmtId="177" fontId="86" fillId="81" borderId="77" xfId="0" applyNumberFormat="1" applyFont="1" applyFill="1" applyBorder="1" applyAlignment="1">
      <alignment horizontal="right" vertical="center"/>
    </xf>
    <xf numFmtId="177" fontId="86" fillId="81" borderId="73" xfId="0" applyNumberFormat="1" applyFont="1" applyFill="1" applyBorder="1" applyAlignment="1">
      <alignment horizontal="right" vertical="center"/>
    </xf>
    <xf numFmtId="177" fontId="86" fillId="81" borderId="72" xfId="136" applyNumberFormat="1" applyFont="1" applyFill="1" applyBorder="1" applyAlignment="1">
      <alignment horizontal="right" vertical="center"/>
    </xf>
    <xf numFmtId="0" fontId="76" fillId="2" borderId="15" xfId="0" applyFont="1" applyFill="1" applyBorder="1" applyAlignment="1">
      <alignment horizontal="center" vertical="center"/>
    </xf>
    <xf numFmtId="177" fontId="86" fillId="2" borderId="15" xfId="0" applyNumberFormat="1" applyFont="1" applyFill="1" applyBorder="1">
      <alignment vertical="center"/>
    </xf>
    <xf numFmtId="178" fontId="86" fillId="2" borderId="0" xfId="0" applyNumberFormat="1" applyFont="1" applyFill="1">
      <alignment vertical="center"/>
    </xf>
    <xf numFmtId="0" fontId="82" fillId="0" borderId="13" xfId="0" applyFont="1" applyBorder="1">
      <alignment vertical="center"/>
    </xf>
    <xf numFmtId="0" fontId="92" fillId="0" borderId="0" xfId="0" applyFont="1">
      <alignment vertical="center"/>
    </xf>
    <xf numFmtId="182" fontId="40" fillId="0" borderId="0" xfId="0" applyNumberFormat="1" applyFont="1">
      <alignment vertical="center"/>
    </xf>
    <xf numFmtId="183" fontId="40" fillId="0" borderId="0" xfId="0" applyNumberFormat="1" applyFont="1">
      <alignment vertical="center"/>
    </xf>
    <xf numFmtId="0" fontId="92" fillId="0" borderId="0" xfId="0" applyFont="1" applyAlignment="1">
      <alignment horizontal="right" vertical="center"/>
    </xf>
    <xf numFmtId="0" fontId="94" fillId="0" borderId="16" xfId="0" applyFont="1" applyBorder="1" applyAlignment="1">
      <alignment horizontal="left" vertical="center"/>
    </xf>
    <xf numFmtId="0" fontId="95" fillId="0" borderId="16" xfId="0" applyFont="1" applyBorder="1" applyAlignment="1">
      <alignment horizontal="left" vertical="center"/>
    </xf>
    <xf numFmtId="0" fontId="40" fillId="0" borderId="0" xfId="0" applyFont="1" applyAlignment="1">
      <alignment horizontal="left" vertical="center"/>
    </xf>
    <xf numFmtId="0" fontId="94" fillId="0" borderId="0" xfId="0" applyFont="1" applyAlignment="1">
      <alignment horizontal="left" vertical="center"/>
    </xf>
    <xf numFmtId="0" fontId="95" fillId="0" borderId="16" xfId="0" applyFont="1" applyBorder="1">
      <alignment vertical="center"/>
    </xf>
    <xf numFmtId="0" fontId="94" fillId="0" borderId="16" xfId="0" applyFont="1" applyBorder="1">
      <alignment vertical="center"/>
    </xf>
    <xf numFmtId="0" fontId="40" fillId="0" borderId="16" xfId="0" applyFont="1" applyBorder="1">
      <alignment vertical="center"/>
    </xf>
    <xf numFmtId="0" fontId="75" fillId="0" borderId="0" xfId="0" applyFont="1" applyAlignment="1">
      <alignment horizontal="distributed" vertical="center" wrapText="1"/>
    </xf>
    <xf numFmtId="0" fontId="75" fillId="0" borderId="0" xfId="0" applyFont="1" applyAlignment="1">
      <alignment horizontal="center" vertical="center"/>
    </xf>
    <xf numFmtId="0" fontId="75" fillId="0" borderId="15" xfId="0" applyFont="1" applyBorder="1" applyAlignment="1">
      <alignment horizontal="center" vertical="center" wrapText="1"/>
    </xf>
    <xf numFmtId="0" fontId="76" fillId="0" borderId="24" xfId="0" applyFont="1" applyBorder="1" applyAlignment="1">
      <alignment horizontal="center" vertical="center"/>
    </xf>
    <xf numFmtId="0" fontId="76" fillId="0" borderId="13" xfId="0" applyFont="1" applyBorder="1" applyAlignment="1">
      <alignment horizontal="center" vertical="center"/>
    </xf>
    <xf numFmtId="0" fontId="76" fillId="0" borderId="15" xfId="0" applyFont="1" applyBorder="1" applyAlignment="1">
      <alignment horizontal="center" vertical="center" wrapText="1"/>
    </xf>
    <xf numFmtId="0" fontId="76" fillId="0" borderId="24" xfId="0" applyFont="1" applyBorder="1" applyAlignment="1">
      <alignment horizontal="centerContinuous" vertical="center"/>
    </xf>
    <xf numFmtId="0" fontId="76" fillId="0" borderId="13" xfId="0" applyFont="1" applyBorder="1" applyAlignment="1">
      <alignment horizontal="centerContinuous" vertical="center"/>
    </xf>
    <xf numFmtId="0" fontId="76" fillId="0" borderId="8" xfId="0" applyFont="1" applyBorder="1" applyAlignment="1">
      <alignment horizontal="centerContinuous" vertical="center"/>
    </xf>
    <xf numFmtId="0" fontId="76" fillId="0" borderId="0" xfId="0" applyFont="1" applyAlignment="1">
      <alignment horizontal="center" vertical="center" wrapText="1"/>
    </xf>
    <xf numFmtId="0" fontId="76" fillId="0" borderId="12" xfId="0" applyFont="1" applyBorder="1">
      <alignment vertical="center"/>
    </xf>
    <xf numFmtId="0" fontId="75" fillId="0" borderId="33" xfId="0" applyFont="1" applyBorder="1">
      <alignment vertical="center"/>
    </xf>
    <xf numFmtId="0" fontId="75" fillId="0" borderId="0" xfId="0" applyFont="1">
      <alignment vertical="center"/>
    </xf>
    <xf numFmtId="0" fontId="75" fillId="0" borderId="15" xfId="0" applyFont="1" applyBorder="1">
      <alignment vertical="center"/>
    </xf>
    <xf numFmtId="0" fontId="40" fillId="0" borderId="0" xfId="0" applyFont="1" applyAlignment="1">
      <alignment horizontal="center" vertical="center"/>
    </xf>
    <xf numFmtId="0" fontId="40" fillId="0" borderId="15" xfId="0" applyFont="1" applyBorder="1" applyAlignment="1">
      <alignment horizontal="center" vertical="center" wrapText="1"/>
    </xf>
    <xf numFmtId="0" fontId="76" fillId="0" borderId="0" xfId="0" applyFont="1">
      <alignment vertical="center"/>
    </xf>
    <xf numFmtId="0" fontId="76" fillId="0" borderId="54" xfId="0" applyFont="1" applyBorder="1" applyAlignment="1">
      <alignment horizontal="centerContinuous" vertical="center"/>
    </xf>
    <xf numFmtId="0" fontId="76" fillId="0" borderId="10" xfId="0" applyFont="1" applyBorder="1" applyAlignment="1">
      <alignment horizontal="centerContinuous" vertical="center"/>
    </xf>
    <xf numFmtId="0" fontId="76" fillId="0" borderId="18" xfId="0" applyFont="1" applyBorder="1" applyAlignment="1">
      <alignment horizontal="centerContinuous" vertical="center"/>
    </xf>
    <xf numFmtId="0" fontId="76" fillId="0" borderId="5" xfId="0" applyFont="1" applyBorder="1" applyAlignment="1">
      <alignment horizontal="center" vertical="center"/>
    </xf>
    <xf numFmtId="0" fontId="76" fillId="0" borderId="47" xfId="0" applyFont="1" applyBorder="1">
      <alignment vertical="center"/>
    </xf>
    <xf numFmtId="0" fontId="40" fillId="0" borderId="0" xfId="0" applyFont="1" applyAlignment="1">
      <alignment horizontal="center" vertical="center" wrapText="1"/>
    </xf>
    <xf numFmtId="0" fontId="76" fillId="0" borderId="18" xfId="0" applyFont="1" applyBorder="1" applyAlignment="1">
      <alignment horizontal="center" vertical="center"/>
    </xf>
    <xf numFmtId="0" fontId="75" fillId="0" borderId="15" xfId="0" applyFont="1" applyBorder="1" applyAlignment="1">
      <alignment horizontal="center" vertical="center"/>
    </xf>
    <xf numFmtId="0" fontId="75" fillId="0" borderId="6" xfId="0" applyFont="1" applyBorder="1" applyAlignment="1">
      <alignment vertical="top"/>
    </xf>
    <xf numFmtId="0" fontId="76" fillId="0" borderId="48" xfId="0" applyFont="1" applyBorder="1">
      <alignment vertical="center"/>
    </xf>
    <xf numFmtId="0" fontId="76" fillId="0" borderId="38" xfId="0" applyFont="1" applyBorder="1" applyAlignment="1">
      <alignment horizontal="center" vertical="center"/>
    </xf>
    <xf numFmtId="0" fontId="76" fillId="0" borderId="6" xfId="0" applyFont="1" applyBorder="1">
      <alignment vertical="center"/>
    </xf>
    <xf numFmtId="0" fontId="76" fillId="0" borderId="23" xfId="0" applyFont="1" applyBorder="1" applyAlignment="1">
      <alignment horizontal="center" vertical="center" shrinkToFit="1"/>
    </xf>
    <xf numFmtId="0" fontId="75" fillId="0" borderId="39" xfId="0" applyFont="1" applyBorder="1" applyAlignment="1">
      <alignment horizontal="right" vertical="center"/>
    </xf>
    <xf numFmtId="0" fontId="75" fillId="0" borderId="34" xfId="0" applyFont="1" applyBorder="1" applyAlignment="1">
      <alignment horizontal="right" vertical="center"/>
    </xf>
    <xf numFmtId="0" fontId="75" fillId="0" borderId="35" xfId="0" applyFont="1" applyBorder="1" applyAlignment="1">
      <alignment horizontal="right" vertical="center"/>
    </xf>
    <xf numFmtId="0" fontId="75" fillId="0" borderId="32" xfId="0" applyFont="1" applyBorder="1" applyAlignment="1">
      <alignment horizontal="right" vertical="center"/>
    </xf>
    <xf numFmtId="0" fontId="75" fillId="0" borderId="40" xfId="0" applyFont="1" applyBorder="1" applyAlignment="1">
      <alignment horizontal="right" vertical="center"/>
    </xf>
    <xf numFmtId="0" fontId="75" fillId="0" borderId="42" xfId="0" applyFont="1" applyBorder="1" applyAlignment="1">
      <alignment horizontal="right" vertical="center"/>
    </xf>
    <xf numFmtId="0" fontId="75" fillId="2" borderId="39" xfId="0" applyFont="1" applyFill="1" applyBorder="1" applyAlignment="1">
      <alignment horizontal="right" vertical="center"/>
    </xf>
    <xf numFmtId="0" fontId="75" fillId="2" borderId="34" xfId="0" applyFont="1" applyFill="1" applyBorder="1" applyAlignment="1">
      <alignment horizontal="right" vertical="center"/>
    </xf>
    <xf numFmtId="0" fontId="75" fillId="2" borderId="40" xfId="0" applyFont="1" applyFill="1" applyBorder="1" applyAlignment="1">
      <alignment horizontal="right" vertical="center"/>
    </xf>
    <xf numFmtId="0" fontId="75" fillId="0" borderId="15" xfId="0" applyFont="1" applyBorder="1" applyAlignment="1">
      <alignment horizontal="right" vertical="center"/>
    </xf>
    <xf numFmtId="0" fontId="79" fillId="0" borderId="15" xfId="0" applyFont="1" applyBorder="1" applyAlignment="1">
      <alignment horizontal="right" vertical="center"/>
    </xf>
    <xf numFmtId="0" fontId="79" fillId="0" borderId="43" xfId="0" applyFont="1" applyBorder="1" applyAlignment="1">
      <alignment horizontal="right" vertical="center"/>
    </xf>
    <xf numFmtId="0" fontId="79" fillId="0" borderId="0" xfId="0" applyFont="1" applyAlignment="1">
      <alignment horizontal="right" vertical="center"/>
    </xf>
    <xf numFmtId="182" fontId="79" fillId="0" borderId="34" xfId="0" applyNumberFormat="1" applyFont="1" applyBorder="1" applyAlignment="1">
      <alignment horizontal="right" vertical="center"/>
    </xf>
    <xf numFmtId="183" fontId="79" fillId="0" borderId="36" xfId="0" applyNumberFormat="1" applyFont="1" applyBorder="1" applyAlignment="1">
      <alignment horizontal="right" vertical="center"/>
    </xf>
    <xf numFmtId="177" fontId="86" fillId="5" borderId="24" xfId="0" applyNumberFormat="1" applyFont="1" applyFill="1" applyBorder="1" applyAlignment="1">
      <alignment horizontal="right" vertical="center"/>
    </xf>
    <xf numFmtId="177" fontId="86" fillId="5" borderId="25" xfId="0" applyNumberFormat="1" applyFont="1" applyFill="1" applyBorder="1" applyAlignment="1">
      <alignment horizontal="right" vertical="center"/>
    </xf>
    <xf numFmtId="178" fontId="86" fillId="5" borderId="17" xfId="0" applyNumberFormat="1" applyFont="1" applyFill="1" applyBorder="1" applyAlignment="1" applyProtection="1">
      <alignment horizontal="right" vertical="center"/>
      <protection locked="0"/>
    </xf>
    <xf numFmtId="177" fontId="86" fillId="81" borderId="0" xfId="0" applyNumberFormat="1" applyFont="1" applyFill="1" applyAlignment="1" applyProtection="1">
      <alignment horizontal="right" vertical="center"/>
      <protection locked="0"/>
    </xf>
    <xf numFmtId="177" fontId="86" fillId="5" borderId="25" xfId="0" applyNumberFormat="1" applyFont="1" applyFill="1" applyBorder="1" applyAlignment="1" applyProtection="1">
      <alignment horizontal="right" vertical="center"/>
      <protection locked="0"/>
    </xf>
    <xf numFmtId="177" fontId="86" fillId="5" borderId="26" xfId="0" applyNumberFormat="1" applyFont="1" applyFill="1" applyBorder="1" applyAlignment="1" applyProtection="1">
      <alignment horizontal="right" vertical="center"/>
      <protection locked="0"/>
    </xf>
    <xf numFmtId="177" fontId="86" fillId="5" borderId="0" xfId="0" applyNumberFormat="1" applyFont="1" applyFill="1" applyAlignment="1" applyProtection="1">
      <alignment horizontal="right" vertical="center"/>
      <protection locked="0"/>
    </xf>
    <xf numFmtId="183" fontId="86" fillId="5" borderId="33" xfId="0" applyNumberFormat="1" applyFont="1" applyFill="1" applyBorder="1" applyAlignment="1" applyProtection="1">
      <alignment horizontal="right" vertical="center"/>
      <protection locked="0"/>
    </xf>
    <xf numFmtId="177" fontId="86" fillId="5" borderId="31" xfId="0" applyNumberFormat="1" applyFont="1" applyFill="1" applyBorder="1" applyAlignment="1" applyProtection="1">
      <alignment horizontal="right" vertical="center"/>
      <protection locked="0"/>
    </xf>
    <xf numFmtId="177" fontId="84" fillId="0" borderId="32" xfId="0" applyNumberFormat="1" applyFont="1" applyBorder="1" applyAlignment="1">
      <alignment horizontal="right" vertical="center"/>
    </xf>
    <xf numFmtId="177" fontId="84" fillId="0" borderId="0" xfId="0" applyNumberFormat="1" applyFont="1" applyAlignment="1">
      <alignment horizontal="right" vertical="center"/>
    </xf>
    <xf numFmtId="178" fontId="84" fillId="2" borderId="53" xfId="0" applyNumberFormat="1" applyFont="1" applyFill="1" applyBorder="1" applyAlignment="1" applyProtection="1">
      <alignment horizontal="right" vertical="center"/>
      <protection locked="0"/>
    </xf>
    <xf numFmtId="178" fontId="84" fillId="0" borderId="15" xfId="0" applyNumberFormat="1" applyFont="1" applyBorder="1" applyAlignment="1" applyProtection="1">
      <alignment horizontal="right" vertical="center"/>
      <protection locked="0"/>
    </xf>
    <xf numFmtId="177" fontId="84" fillId="2" borderId="0" xfId="0" applyNumberFormat="1" applyFont="1" applyFill="1" applyAlignment="1" applyProtection="1">
      <alignment horizontal="right" vertical="center"/>
      <protection locked="0"/>
    </xf>
    <xf numFmtId="177" fontId="84" fillId="2" borderId="53" xfId="0" applyNumberFormat="1" applyFont="1" applyFill="1" applyBorder="1" applyAlignment="1" applyProtection="1">
      <alignment horizontal="right" vertical="center"/>
      <protection locked="0"/>
    </xf>
    <xf numFmtId="177" fontId="84" fillId="0" borderId="0" xfId="0" applyNumberFormat="1" applyFont="1" applyAlignment="1" applyProtection="1">
      <alignment horizontal="right" vertical="center"/>
      <protection locked="0"/>
    </xf>
    <xf numFmtId="183" fontId="84" fillId="2" borderId="51" xfId="0" applyNumberFormat="1" applyFont="1" applyFill="1" applyBorder="1" applyAlignment="1" applyProtection="1">
      <alignment horizontal="right" vertical="center"/>
      <protection locked="0"/>
    </xf>
    <xf numFmtId="177" fontId="84" fillId="2" borderId="32" xfId="0" applyNumberFormat="1" applyFont="1" applyFill="1" applyBorder="1" applyAlignment="1" applyProtection="1">
      <alignment horizontal="right" vertical="center"/>
      <protection locked="0"/>
    </xf>
    <xf numFmtId="183" fontId="86" fillId="0" borderId="51" xfId="0" applyNumberFormat="1" applyFont="1" applyBorder="1" applyAlignment="1" applyProtection="1">
      <alignment horizontal="right" vertical="center"/>
      <protection locked="0"/>
    </xf>
    <xf numFmtId="177" fontId="86" fillId="0" borderId="32" xfId="0" applyNumberFormat="1" applyFont="1" applyBorder="1" applyAlignment="1" applyProtection="1">
      <alignment horizontal="right" vertical="center"/>
      <protection locked="0"/>
    </xf>
    <xf numFmtId="178" fontId="86" fillId="5" borderId="53" xfId="0" applyNumberFormat="1" applyFont="1" applyFill="1" applyBorder="1" applyAlignment="1" applyProtection="1">
      <alignment horizontal="right" vertical="center"/>
      <protection locked="0"/>
    </xf>
    <xf numFmtId="183" fontId="86" fillId="5" borderId="51" xfId="0" applyNumberFormat="1" applyFont="1" applyFill="1" applyBorder="1" applyAlignment="1" applyProtection="1">
      <alignment horizontal="right" vertical="center"/>
      <protection locked="0"/>
    </xf>
    <xf numFmtId="177" fontId="86" fillId="5" borderId="32" xfId="0" applyNumberFormat="1" applyFont="1" applyFill="1" applyBorder="1" applyAlignment="1" applyProtection="1">
      <alignment horizontal="right" vertical="center"/>
      <protection locked="0"/>
    </xf>
    <xf numFmtId="177" fontId="86" fillId="80" borderId="15" xfId="0" applyNumberFormat="1" applyFont="1" applyFill="1" applyBorder="1" applyAlignment="1">
      <alignment horizontal="right" vertical="center"/>
    </xf>
    <xf numFmtId="178" fontId="86" fillId="80" borderId="53" xfId="0" applyNumberFormat="1" applyFont="1" applyFill="1" applyBorder="1" applyAlignment="1" applyProtection="1">
      <alignment horizontal="right" vertical="center"/>
      <protection locked="0"/>
    </xf>
    <xf numFmtId="177" fontId="86" fillId="80" borderId="0" xfId="0" applyNumberFormat="1" applyFont="1" applyFill="1" applyAlignment="1" applyProtection="1">
      <alignment horizontal="right" vertical="center"/>
      <protection locked="0"/>
    </xf>
    <xf numFmtId="183" fontId="86" fillId="80" borderId="51" xfId="0" applyNumberFormat="1" applyFont="1" applyFill="1" applyBorder="1" applyAlignment="1" applyProtection="1">
      <alignment horizontal="right" vertical="center"/>
      <protection locked="0"/>
    </xf>
    <xf numFmtId="177" fontId="86" fillId="2" borderId="32" xfId="0" applyNumberFormat="1" applyFont="1" applyFill="1" applyBorder="1" applyAlignment="1" applyProtection="1">
      <alignment horizontal="right" vertical="center"/>
      <protection locked="0"/>
    </xf>
    <xf numFmtId="178" fontId="86" fillId="0" borderId="53" xfId="0" applyNumberFormat="1" applyFont="1" applyBorder="1" applyAlignment="1" applyProtection="1">
      <alignment horizontal="right" vertical="center"/>
      <protection locked="0"/>
    </xf>
    <xf numFmtId="38" fontId="86" fillId="2" borderId="0" xfId="110" applyFont="1" applyFill="1" applyBorder="1" applyAlignment="1" applyProtection="1">
      <alignment horizontal="right" vertical="center"/>
      <protection locked="0"/>
    </xf>
    <xf numFmtId="177" fontId="86" fillId="2" borderId="0" xfId="0" applyNumberFormat="1" applyFont="1" applyFill="1" applyAlignment="1" applyProtection="1">
      <alignment horizontal="right" vertical="center"/>
      <protection locked="0"/>
    </xf>
    <xf numFmtId="183" fontId="86" fillId="2" borderId="51" xfId="0" applyNumberFormat="1" applyFont="1" applyFill="1" applyBorder="1" applyAlignment="1" applyProtection="1">
      <alignment horizontal="right" vertical="center"/>
      <protection locked="0"/>
    </xf>
    <xf numFmtId="177" fontId="86" fillId="0" borderId="0" xfId="0" quotePrefix="1" applyNumberFormat="1" applyFont="1" applyAlignment="1">
      <alignment horizontal="right" vertical="center"/>
    </xf>
    <xf numFmtId="177" fontId="86" fillId="0" borderId="15" xfId="0" applyNumberFormat="1" applyFont="1" applyBorder="1" applyAlignment="1" applyProtection="1">
      <alignment horizontal="right" vertical="center" wrapText="1"/>
      <protection locked="0"/>
    </xf>
    <xf numFmtId="177" fontId="86" fillId="0" borderId="84" xfId="0" applyNumberFormat="1" applyFont="1" applyBorder="1" applyAlignment="1" applyProtection="1">
      <alignment horizontal="right" vertical="center" wrapText="1"/>
      <protection locked="0"/>
    </xf>
    <xf numFmtId="177" fontId="86" fillId="0" borderId="85" xfId="0" applyNumberFormat="1" applyFont="1" applyBorder="1" applyAlignment="1" applyProtection="1">
      <alignment horizontal="right" vertical="center" wrapText="1"/>
      <protection locked="0"/>
    </xf>
    <xf numFmtId="183" fontId="86" fillId="0" borderId="0" xfId="0" applyNumberFormat="1" applyFont="1" applyAlignment="1" applyProtection="1">
      <alignment horizontal="right" vertical="center"/>
      <protection locked="0"/>
    </xf>
    <xf numFmtId="177" fontId="86" fillId="0" borderId="86" xfId="0" applyNumberFormat="1" applyFont="1" applyBorder="1" applyAlignment="1" applyProtection="1">
      <alignment horizontal="right" vertical="center" wrapText="1"/>
      <protection locked="0"/>
    </xf>
    <xf numFmtId="177" fontId="86" fillId="80" borderId="87" xfId="0" applyNumberFormat="1" applyFont="1" applyFill="1" applyBorder="1" applyAlignment="1" applyProtection="1">
      <alignment horizontal="right" vertical="center" wrapText="1"/>
      <protection locked="0"/>
    </xf>
    <xf numFmtId="178" fontId="86" fillId="80" borderId="84" xfId="0" applyNumberFormat="1" applyFont="1" applyFill="1" applyBorder="1" applyAlignment="1" applyProtection="1">
      <alignment horizontal="right" vertical="center" wrapText="1"/>
      <protection locked="0"/>
    </xf>
    <xf numFmtId="177" fontId="86" fillId="80" borderId="84" xfId="0" applyNumberFormat="1" applyFont="1" applyFill="1" applyBorder="1" applyAlignment="1" applyProtection="1">
      <alignment horizontal="right" vertical="center" wrapText="1"/>
      <protection locked="0"/>
    </xf>
    <xf numFmtId="178" fontId="86" fillId="80" borderId="51" xfId="0" applyNumberFormat="1" applyFont="1" applyFill="1" applyBorder="1" applyAlignment="1" applyProtection="1">
      <alignment horizontal="right" vertical="center" wrapText="1"/>
      <protection locked="0"/>
    </xf>
    <xf numFmtId="177" fontId="86" fillId="80" borderId="90" xfId="0" applyNumberFormat="1" applyFont="1" applyFill="1" applyBorder="1" applyAlignment="1" applyProtection="1">
      <alignment horizontal="right" vertical="center" wrapText="1"/>
      <protection locked="0"/>
    </xf>
    <xf numFmtId="178" fontId="86" fillId="80" borderId="0" xfId="0" applyNumberFormat="1" applyFont="1" applyFill="1" applyAlignment="1" applyProtection="1">
      <alignment horizontal="right" vertical="center" wrapText="1"/>
      <protection locked="0"/>
    </xf>
    <xf numFmtId="178" fontId="86" fillId="5" borderId="84" xfId="0" applyNumberFormat="1" applyFont="1" applyFill="1" applyBorder="1" applyAlignment="1">
      <alignment horizontal="right" vertical="center" wrapText="1"/>
    </xf>
    <xf numFmtId="188" fontId="86" fillId="5" borderId="53" xfId="0" applyNumberFormat="1" applyFont="1" applyFill="1" applyBorder="1" applyAlignment="1" applyProtection="1">
      <alignment horizontal="right" vertical="center"/>
      <protection locked="0"/>
    </xf>
    <xf numFmtId="0" fontId="86" fillId="0" borderId="15" xfId="0" applyFont="1" applyBorder="1" applyAlignment="1" applyProtection="1">
      <alignment horizontal="right" vertical="center"/>
      <protection locked="0"/>
    </xf>
    <xf numFmtId="178" fontId="86" fillId="2" borderId="53" xfId="0" applyNumberFormat="1" applyFont="1" applyFill="1" applyBorder="1" applyAlignment="1" applyProtection="1">
      <alignment horizontal="right" vertical="center"/>
      <protection locked="0"/>
    </xf>
    <xf numFmtId="38" fontId="86" fillId="81" borderId="0" xfId="0" applyNumberFormat="1" applyFont="1" applyFill="1" applyAlignment="1" applyProtection="1">
      <alignment horizontal="right" vertical="center"/>
      <protection locked="0"/>
    </xf>
    <xf numFmtId="187" fontId="86" fillId="0" borderId="15" xfId="110" applyNumberFormat="1" applyFont="1" applyFill="1" applyBorder="1" applyAlignment="1" applyProtection="1">
      <alignment horizontal="right" vertical="center"/>
      <protection locked="0"/>
    </xf>
    <xf numFmtId="3" fontId="86" fillId="2" borderId="47" xfId="0" applyNumberFormat="1" applyFont="1" applyFill="1" applyBorder="1" applyAlignment="1">
      <alignment horizontal="right" vertical="center"/>
    </xf>
    <xf numFmtId="0" fontId="86" fillId="0" borderId="15" xfId="0" applyFont="1" applyBorder="1" applyAlignment="1">
      <alignment horizontal="right" vertical="center"/>
    </xf>
    <xf numFmtId="177" fontId="86" fillId="0" borderId="47" xfId="0" quotePrefix="1" applyNumberFormat="1" applyFont="1" applyBorder="1" applyAlignment="1" applyProtection="1">
      <alignment horizontal="right" vertical="center"/>
      <protection locked="0"/>
    </xf>
    <xf numFmtId="0" fontId="86" fillId="0" borderId="15" xfId="95" applyNumberFormat="1" applyFont="1" applyFill="1" applyBorder="1" applyAlignment="1" applyProtection="1">
      <alignment horizontal="right" vertical="center"/>
      <protection locked="0"/>
    </xf>
    <xf numFmtId="0" fontId="86" fillId="81" borderId="53" xfId="95" applyNumberFormat="1" applyFont="1" applyFill="1" applyBorder="1" applyAlignment="1" applyProtection="1">
      <alignment horizontal="right" vertical="center"/>
      <protection locked="0"/>
    </xf>
    <xf numFmtId="177" fontId="86" fillId="0" borderId="47" xfId="143" applyNumberFormat="1" applyFont="1" applyBorder="1" applyAlignment="1" applyProtection="1">
      <alignment horizontal="right" vertical="center"/>
      <protection locked="0"/>
    </xf>
    <xf numFmtId="177" fontId="86" fillId="0" borderId="0" xfId="143" applyNumberFormat="1" applyFont="1" applyAlignment="1" applyProtection="1">
      <alignment horizontal="right" vertical="center"/>
      <protection locked="0"/>
    </xf>
    <xf numFmtId="177" fontId="86" fillId="0" borderId="32" xfId="0" applyNumberFormat="1" applyFont="1" applyBorder="1" applyAlignment="1" applyProtection="1">
      <alignment horizontal="right" vertical="center" wrapText="1"/>
      <protection locked="0"/>
    </xf>
    <xf numFmtId="177" fontId="86" fillId="81" borderId="47" xfId="143" applyNumberFormat="1" applyFont="1" applyFill="1" applyBorder="1" applyAlignment="1" applyProtection="1">
      <alignment horizontal="right" vertical="center"/>
      <protection locked="0"/>
    </xf>
    <xf numFmtId="177" fontId="86" fillId="81" borderId="0" xfId="143" applyNumberFormat="1" applyFont="1" applyFill="1" applyAlignment="1" applyProtection="1">
      <alignment horizontal="right" vertical="center"/>
      <protection locked="0"/>
    </xf>
    <xf numFmtId="177" fontId="86" fillId="81" borderId="15" xfId="0" applyNumberFormat="1" applyFont="1" applyFill="1" applyBorder="1" applyAlignment="1" applyProtection="1">
      <alignment horizontal="right" vertical="center"/>
      <protection locked="0"/>
    </xf>
    <xf numFmtId="0" fontId="86" fillId="81" borderId="51" xfId="0" applyFont="1" applyFill="1" applyBorder="1" applyAlignment="1" applyProtection="1">
      <alignment horizontal="right" vertical="center"/>
      <protection locked="0"/>
    </xf>
    <xf numFmtId="0" fontId="86" fillId="81" borderId="51" xfId="95" applyNumberFormat="1" applyFont="1" applyFill="1" applyBorder="1" applyAlignment="1" applyProtection="1">
      <alignment horizontal="right" vertical="center"/>
      <protection locked="0"/>
    </xf>
    <xf numFmtId="178" fontId="84" fillId="0" borderId="53" xfId="0" applyNumberFormat="1" applyFont="1" applyBorder="1" applyAlignment="1" applyProtection="1">
      <alignment horizontal="right" vertical="center"/>
      <protection locked="0"/>
    </xf>
    <xf numFmtId="183" fontId="84" fillId="0" borderId="51" xfId="0" applyNumberFormat="1" applyFont="1" applyBorder="1" applyAlignment="1" applyProtection="1">
      <alignment horizontal="right" vertical="center"/>
      <protection locked="0"/>
    </xf>
    <xf numFmtId="177" fontId="84" fillId="0" borderId="32" xfId="0" applyNumberFormat="1" applyFont="1" applyBorder="1" applyAlignment="1" applyProtection="1">
      <alignment horizontal="right" vertical="center"/>
      <protection locked="0"/>
    </xf>
    <xf numFmtId="177" fontId="86" fillId="0" borderId="112" xfId="0" applyNumberFormat="1" applyFont="1" applyBorder="1" applyAlignment="1" applyProtection="1">
      <alignment horizontal="right" vertical="center"/>
      <protection locked="0"/>
    </xf>
    <xf numFmtId="177" fontId="86" fillId="0" borderId="113" xfId="0" applyNumberFormat="1" applyFont="1" applyBorder="1" applyAlignment="1" applyProtection="1">
      <alignment horizontal="right" vertical="center"/>
      <protection locked="0"/>
    </xf>
    <xf numFmtId="183" fontId="86" fillId="81" borderId="0" xfId="0" applyNumberFormat="1" applyFont="1" applyFill="1" applyAlignment="1" applyProtection="1">
      <alignment horizontal="right" vertical="center"/>
      <protection locked="0"/>
    </xf>
    <xf numFmtId="177" fontId="86" fillId="0" borderId="66" xfId="0" applyNumberFormat="1" applyFont="1" applyBorder="1" applyAlignment="1" applyProtection="1">
      <alignment horizontal="right" vertical="center"/>
      <protection locked="0"/>
    </xf>
    <xf numFmtId="177" fontId="86" fillId="81" borderId="75" xfId="0" applyNumberFormat="1" applyFont="1" applyFill="1" applyBorder="1" applyAlignment="1">
      <alignment horizontal="right" vertical="center"/>
    </xf>
    <xf numFmtId="177" fontId="86" fillId="81" borderId="83" xfId="0" applyNumberFormat="1" applyFont="1" applyFill="1" applyBorder="1" applyAlignment="1">
      <alignment horizontal="right" vertical="center"/>
    </xf>
    <xf numFmtId="177" fontId="86" fillId="81" borderId="72" xfId="0" applyNumberFormat="1" applyFont="1" applyFill="1" applyBorder="1" applyAlignment="1">
      <alignment horizontal="right" vertical="center"/>
    </xf>
    <xf numFmtId="177" fontId="86" fillId="81" borderId="69" xfId="0" applyNumberFormat="1" applyFont="1" applyFill="1" applyBorder="1" applyAlignment="1">
      <alignment horizontal="right" vertical="center"/>
    </xf>
    <xf numFmtId="177" fontId="86" fillId="81" borderId="75" xfId="0" applyNumberFormat="1" applyFont="1" applyFill="1" applyBorder="1" applyAlignment="1" applyProtection="1">
      <alignment horizontal="right" vertical="center"/>
      <protection locked="0"/>
    </xf>
    <xf numFmtId="177" fontId="86" fillId="81" borderId="71" xfId="0" applyNumberFormat="1" applyFont="1" applyFill="1" applyBorder="1" applyAlignment="1" applyProtection="1">
      <alignment horizontal="right" vertical="center"/>
      <protection locked="0"/>
    </xf>
    <xf numFmtId="177" fontId="86" fillId="81" borderId="72" xfId="0" applyNumberFormat="1" applyFont="1" applyFill="1" applyBorder="1" applyAlignment="1" applyProtection="1">
      <alignment horizontal="right" vertical="center"/>
      <protection locked="0"/>
    </xf>
    <xf numFmtId="177" fontId="86" fillId="81" borderId="69" xfId="0" applyNumberFormat="1" applyFont="1" applyFill="1" applyBorder="1" applyAlignment="1" applyProtection="1">
      <alignment horizontal="right" vertical="center"/>
      <protection locked="0"/>
    </xf>
    <xf numFmtId="177" fontId="86" fillId="81" borderId="73" xfId="0" applyNumberFormat="1" applyFont="1" applyFill="1" applyBorder="1" applyAlignment="1" applyProtection="1">
      <alignment horizontal="right" vertical="center"/>
      <protection locked="0"/>
    </xf>
    <xf numFmtId="177" fontId="86" fillId="81" borderId="77" xfId="0" applyNumberFormat="1" applyFont="1" applyFill="1" applyBorder="1" applyAlignment="1" applyProtection="1">
      <alignment horizontal="right" vertical="center"/>
      <protection locked="0"/>
    </xf>
    <xf numFmtId="177" fontId="86" fillId="81" borderId="78" xfId="0" applyNumberFormat="1" applyFont="1" applyFill="1" applyBorder="1" applyAlignment="1" applyProtection="1">
      <alignment horizontal="right" vertical="center"/>
      <protection locked="0"/>
    </xf>
    <xf numFmtId="177" fontId="86" fillId="81" borderId="70" xfId="0" applyNumberFormat="1" applyFont="1" applyFill="1" applyBorder="1" applyAlignment="1" applyProtection="1">
      <alignment horizontal="right" vertical="center"/>
      <protection locked="0"/>
    </xf>
    <xf numFmtId="178" fontId="86" fillId="81" borderId="70" xfId="0" applyNumberFormat="1" applyFont="1" applyFill="1" applyBorder="1" applyAlignment="1" applyProtection="1">
      <alignment horizontal="right" vertical="center"/>
      <protection locked="0"/>
    </xf>
    <xf numFmtId="178" fontId="86" fillId="81" borderId="71" xfId="0" applyNumberFormat="1" applyFont="1" applyFill="1" applyBorder="1" applyAlignment="1" applyProtection="1">
      <alignment horizontal="right" vertical="center"/>
      <protection locked="0"/>
    </xf>
    <xf numFmtId="0" fontId="76" fillId="0" borderId="57" xfId="0" applyFont="1" applyBorder="1" applyAlignment="1">
      <alignment horizontal="center" vertical="center"/>
    </xf>
    <xf numFmtId="177" fontId="86" fillId="0" borderId="57" xfId="0" applyNumberFormat="1" applyFont="1" applyBorder="1">
      <alignment vertical="center"/>
    </xf>
    <xf numFmtId="178" fontId="86" fillId="0" borderId="41" xfId="0" applyNumberFormat="1" applyFont="1" applyBorder="1">
      <alignment vertical="center"/>
    </xf>
    <xf numFmtId="177" fontId="86" fillId="0" borderId="42" xfId="0" applyNumberFormat="1" applyFont="1" applyBorder="1">
      <alignment vertical="center"/>
    </xf>
    <xf numFmtId="177" fontId="86" fillId="0" borderId="32" xfId="0" applyNumberFormat="1" applyFont="1" applyBorder="1">
      <alignment vertical="center"/>
    </xf>
    <xf numFmtId="177" fontId="86" fillId="0" borderId="153" xfId="0" applyNumberFormat="1" applyFont="1" applyBorder="1" applyAlignment="1">
      <alignment horizontal="right" vertical="center"/>
    </xf>
    <xf numFmtId="177" fontId="86" fillId="0" borderId="42" xfId="0" applyNumberFormat="1" applyFont="1" applyBorder="1" applyAlignment="1">
      <alignment horizontal="right" vertical="center"/>
    </xf>
    <xf numFmtId="178" fontId="86" fillId="0" borderId="41" xfId="0" applyNumberFormat="1" applyFont="1" applyBorder="1" applyAlignment="1">
      <alignment horizontal="right" vertical="center"/>
    </xf>
    <xf numFmtId="178" fontId="86" fillId="0" borderId="15" xfId="0" applyNumberFormat="1" applyFont="1" applyBorder="1" applyAlignment="1">
      <alignment horizontal="right" vertical="center"/>
    </xf>
    <xf numFmtId="177" fontId="86" fillId="0" borderId="57" xfId="0" applyNumberFormat="1" applyFont="1" applyBorder="1" applyAlignment="1" applyProtection="1">
      <alignment horizontal="right" vertical="center"/>
      <protection locked="0"/>
    </xf>
    <xf numFmtId="177" fontId="86" fillId="0" borderId="41" xfId="0" applyNumberFormat="1" applyFont="1" applyBorder="1" applyAlignment="1" applyProtection="1">
      <alignment horizontal="right" vertical="center"/>
      <protection locked="0"/>
    </xf>
    <xf numFmtId="177" fontId="86" fillId="0" borderId="42" xfId="0" applyNumberFormat="1" applyFont="1" applyBorder="1" applyAlignment="1" applyProtection="1">
      <alignment horizontal="right" vertical="center"/>
      <protection locked="0"/>
    </xf>
    <xf numFmtId="177" fontId="86" fillId="0" borderId="153" xfId="0" applyNumberFormat="1" applyFont="1" applyBorder="1" applyAlignment="1" applyProtection="1">
      <alignment horizontal="right" vertical="center"/>
      <protection locked="0"/>
    </xf>
    <xf numFmtId="177" fontId="86" fillId="0" borderId="45" xfId="0" applyNumberFormat="1" applyFont="1" applyBorder="1" applyAlignment="1" applyProtection="1">
      <alignment horizontal="right" vertical="center"/>
      <protection locked="0"/>
    </xf>
    <xf numFmtId="177" fontId="86" fillId="0" borderId="16" xfId="0" applyNumberFormat="1" applyFont="1" applyBorder="1" applyAlignment="1" applyProtection="1">
      <alignment horizontal="right" vertical="center"/>
      <protection locked="0"/>
    </xf>
    <xf numFmtId="177" fontId="86" fillId="0" borderId="37" xfId="0" applyNumberFormat="1" applyFont="1" applyBorder="1" applyAlignment="1" applyProtection="1">
      <alignment horizontal="right" vertical="center"/>
      <protection locked="0"/>
    </xf>
    <xf numFmtId="177" fontId="86" fillId="0" borderId="46" xfId="0" applyNumberFormat="1" applyFont="1" applyBorder="1" applyAlignment="1" applyProtection="1">
      <alignment horizontal="right" vertical="center"/>
      <protection locked="0"/>
    </xf>
    <xf numFmtId="178" fontId="86" fillId="0" borderId="46" xfId="0" applyNumberFormat="1" applyFont="1" applyBorder="1" applyAlignment="1" applyProtection="1">
      <alignment horizontal="right" vertical="center"/>
      <protection locked="0"/>
    </xf>
    <xf numFmtId="178" fontId="86" fillId="0" borderId="41" xfId="0" applyNumberFormat="1" applyFont="1" applyBorder="1" applyAlignment="1" applyProtection="1">
      <alignment horizontal="right" vertical="center"/>
      <protection locked="0"/>
    </xf>
    <xf numFmtId="178" fontId="86" fillId="0" borderId="42" xfId="0" applyNumberFormat="1" applyFont="1" applyBorder="1" applyAlignment="1" applyProtection="1">
      <alignment horizontal="right" vertical="center"/>
      <protection locked="0"/>
    </xf>
    <xf numFmtId="177" fontId="77" fillId="0" borderId="0" xfId="0" applyNumberFormat="1" applyFont="1" applyAlignment="1">
      <alignment vertical="center" wrapText="1"/>
    </xf>
    <xf numFmtId="0" fontId="77" fillId="0" borderId="0" xfId="0" applyFont="1" applyAlignment="1">
      <alignment horizontal="distributed" vertical="center" justifyLastLine="1"/>
    </xf>
    <xf numFmtId="177" fontId="77" fillId="0" borderId="0" xfId="0" applyNumberFormat="1" applyFont="1" applyAlignment="1">
      <alignment horizontal="right" vertical="center"/>
    </xf>
    <xf numFmtId="0" fontId="82" fillId="0" borderId="0" xfId="0" applyFont="1" applyAlignment="1">
      <alignment vertical="center" wrapText="1"/>
    </xf>
    <xf numFmtId="0" fontId="77" fillId="0" borderId="0" xfId="0" applyFont="1">
      <alignment vertical="center"/>
    </xf>
    <xf numFmtId="0" fontId="77" fillId="0" borderId="0" xfId="0" applyFont="1" applyAlignment="1">
      <alignment vertical="center" wrapText="1"/>
    </xf>
    <xf numFmtId="0" fontId="77" fillId="0" borderId="0" xfId="0" applyFont="1" applyAlignment="1">
      <alignment horizontal="left" vertical="center" wrapText="1"/>
    </xf>
    <xf numFmtId="0" fontId="82" fillId="0" borderId="0" xfId="0" applyFont="1" applyAlignment="1">
      <alignment horizontal="left" vertical="center" wrapText="1"/>
    </xf>
    <xf numFmtId="177" fontId="77" fillId="0" borderId="0" xfId="0" applyNumberFormat="1" applyFont="1" applyAlignment="1" applyProtection="1">
      <alignment horizontal="right" vertical="center"/>
      <protection locked="0"/>
    </xf>
    <xf numFmtId="0" fontId="82" fillId="0" borderId="0" xfId="0" applyFont="1" applyAlignment="1">
      <alignment horizontal="right" vertical="center"/>
    </xf>
    <xf numFmtId="178" fontId="77" fillId="0" borderId="0" xfId="0" applyNumberFormat="1" applyFont="1" applyAlignment="1" applyProtection="1">
      <alignment horizontal="right" vertical="center"/>
      <protection locked="0"/>
    </xf>
    <xf numFmtId="0" fontId="77" fillId="0" borderId="0" xfId="0" applyFont="1" applyAlignment="1">
      <alignment horizontal="left" vertical="center"/>
    </xf>
    <xf numFmtId="0" fontId="129" fillId="0" borderId="0" xfId="0" applyFont="1" applyAlignment="1">
      <alignment horizontal="left" vertical="center" wrapText="1"/>
    </xf>
    <xf numFmtId="49" fontId="82" fillId="0" borderId="0" xfId="0" applyNumberFormat="1" applyFont="1" applyAlignment="1">
      <alignment horizontal="left" vertical="center"/>
    </xf>
    <xf numFmtId="49" fontId="77" fillId="0" borderId="0" xfId="0" applyNumberFormat="1" applyFont="1">
      <alignment vertical="center"/>
    </xf>
    <xf numFmtId="0" fontId="129" fillId="0" borderId="0" xfId="0" applyFont="1" applyAlignment="1">
      <alignment vertical="center" wrapText="1"/>
    </xf>
    <xf numFmtId="177" fontId="77" fillId="0" borderId="0" xfId="0" applyNumberFormat="1" applyFont="1">
      <alignment vertical="center"/>
    </xf>
    <xf numFmtId="182" fontId="82" fillId="0" borderId="0" xfId="0" applyNumberFormat="1" applyFont="1">
      <alignment vertical="center"/>
    </xf>
    <xf numFmtId="0" fontId="129" fillId="0" borderId="0" xfId="0" applyFont="1">
      <alignment vertical="center"/>
    </xf>
    <xf numFmtId="0" fontId="82" fillId="0" borderId="0" xfId="0" applyFont="1" applyAlignment="1">
      <alignment horizontal="left" vertical="center"/>
    </xf>
    <xf numFmtId="0" fontId="129" fillId="0" borderId="0" xfId="0" applyFont="1" applyAlignment="1">
      <alignment horizontal="left" vertical="center"/>
    </xf>
    <xf numFmtId="183" fontId="82" fillId="0" borderId="0" xfId="0" applyNumberFormat="1" applyFont="1">
      <alignment vertical="center"/>
    </xf>
    <xf numFmtId="0" fontId="82" fillId="0" borderId="0" xfId="0" applyFont="1" applyAlignment="1">
      <alignment vertical="top"/>
    </xf>
    <xf numFmtId="177" fontId="77" fillId="0" borderId="0" xfId="0" applyNumberFormat="1" applyFont="1" applyAlignment="1">
      <alignment vertical="top" wrapText="1"/>
    </xf>
    <xf numFmtId="0" fontId="40" fillId="0" borderId="0" xfId="0" applyFont="1" applyAlignment="1">
      <alignment vertical="top"/>
    </xf>
    <xf numFmtId="0" fontId="76" fillId="0" borderId="29" xfId="0" applyFont="1" applyBorder="1" applyAlignment="1">
      <alignment horizontal="center" vertical="center"/>
    </xf>
    <xf numFmtId="0" fontId="76" fillId="0" borderId="28" xfId="0" applyFont="1" applyBorder="1" applyAlignment="1">
      <alignment horizontal="center" vertical="center"/>
    </xf>
    <xf numFmtId="177" fontId="76" fillId="5" borderId="47" xfId="0" applyNumberFormat="1" applyFont="1" applyFill="1" applyBorder="1" applyAlignment="1">
      <alignment horizontal="right" vertical="center"/>
    </xf>
    <xf numFmtId="177" fontId="76" fillId="5" borderId="25" xfId="0" applyNumberFormat="1" applyFont="1" applyFill="1" applyBorder="1" applyAlignment="1">
      <alignment horizontal="right" vertical="center"/>
    </xf>
    <xf numFmtId="177" fontId="76" fillId="5" borderId="0" xfId="0" applyNumberFormat="1" applyFont="1" applyFill="1" applyAlignment="1">
      <alignment horizontal="right" vertical="center"/>
    </xf>
    <xf numFmtId="177" fontId="124" fillId="2" borderId="47" xfId="0" applyNumberFormat="1" applyFont="1" applyFill="1" applyBorder="1" applyAlignment="1">
      <alignment horizontal="right" vertical="center"/>
    </xf>
    <xf numFmtId="177" fontId="76" fillId="0" borderId="47" xfId="0" applyNumberFormat="1" applyFont="1" applyBorder="1" applyAlignment="1">
      <alignment horizontal="right" vertical="center"/>
    </xf>
    <xf numFmtId="177" fontId="76" fillId="5" borderId="88" xfId="0" applyNumberFormat="1" applyFont="1" applyFill="1" applyBorder="1" applyAlignment="1">
      <alignment horizontal="right" vertical="center" wrapText="1"/>
    </xf>
    <xf numFmtId="178" fontId="76" fillId="5" borderId="53" xfId="0" applyNumberFormat="1" applyFont="1" applyFill="1" applyBorder="1" applyAlignment="1">
      <alignment horizontal="right" vertical="center"/>
    </xf>
    <xf numFmtId="177" fontId="124" fillId="0" borderId="47" xfId="0" applyNumberFormat="1" applyFont="1" applyBorder="1" applyAlignment="1">
      <alignment horizontal="right" vertical="center"/>
    </xf>
    <xf numFmtId="177" fontId="76" fillId="81" borderId="15" xfId="0" applyNumberFormat="1" applyFont="1" applyFill="1" applyBorder="1" applyAlignment="1">
      <alignment horizontal="right" vertical="center"/>
    </xf>
    <xf numFmtId="178" fontId="76" fillId="81" borderId="53" xfId="0" applyNumberFormat="1" applyFont="1" applyFill="1" applyBorder="1" applyAlignment="1">
      <alignment horizontal="right" vertical="center"/>
    </xf>
    <xf numFmtId="177" fontId="76" fillId="2" borderId="15" xfId="0" applyNumberFormat="1" applyFont="1" applyFill="1" applyBorder="1" applyAlignment="1">
      <alignment horizontal="right" vertical="center"/>
    </xf>
    <xf numFmtId="178" fontId="76" fillId="2" borderId="53" xfId="0" applyNumberFormat="1" applyFont="1" applyFill="1" applyBorder="1" applyAlignment="1">
      <alignment horizontal="right" vertical="center"/>
    </xf>
    <xf numFmtId="177" fontId="76" fillId="5" borderId="15" xfId="0" applyNumberFormat="1" applyFont="1" applyFill="1" applyBorder="1" applyAlignment="1">
      <alignment horizontal="right" vertical="center"/>
    </xf>
    <xf numFmtId="177" fontId="124" fillId="2" borderId="15" xfId="0" applyNumberFormat="1" applyFont="1" applyFill="1" applyBorder="1" applyAlignment="1">
      <alignment horizontal="right" vertical="center"/>
    </xf>
    <xf numFmtId="178" fontId="124" fillId="2" borderId="53" xfId="0" applyNumberFormat="1" applyFont="1" applyFill="1" applyBorder="1" applyAlignment="1">
      <alignment horizontal="right" vertical="center"/>
    </xf>
    <xf numFmtId="177" fontId="76" fillId="81" borderId="75" xfId="0" applyNumberFormat="1" applyFont="1" applyFill="1" applyBorder="1" applyAlignment="1">
      <alignment horizontal="right" vertical="center"/>
    </xf>
    <xf numFmtId="177" fontId="76" fillId="81" borderId="71" xfId="0" applyNumberFormat="1" applyFont="1" applyFill="1" applyBorder="1" applyAlignment="1">
      <alignment horizontal="right" vertical="center"/>
    </xf>
    <xf numFmtId="177" fontId="76" fillId="81" borderId="72" xfId="0" applyNumberFormat="1" applyFont="1" applyFill="1" applyBorder="1" applyAlignment="1">
      <alignment horizontal="right" vertical="center"/>
    </xf>
    <xf numFmtId="177" fontId="76" fillId="0" borderId="57" xfId="0" applyNumberFormat="1" applyFont="1" applyBorder="1" applyAlignment="1">
      <alignment horizontal="right" vertical="center"/>
    </xf>
    <xf numFmtId="177" fontId="76" fillId="0" borderId="41" xfId="0" applyNumberFormat="1" applyFont="1" applyBorder="1" applyAlignment="1">
      <alignment horizontal="right" vertical="center"/>
    </xf>
    <xf numFmtId="178" fontId="76" fillId="0" borderId="42" xfId="0" applyNumberFormat="1" applyFont="1" applyBorder="1" applyAlignment="1">
      <alignment horizontal="right" vertical="center"/>
    </xf>
    <xf numFmtId="0" fontId="76" fillId="0" borderId="4" xfId="0" applyFont="1" applyBorder="1" applyAlignment="1">
      <alignment horizontal="center" vertical="center" wrapText="1" shrinkToFit="1"/>
    </xf>
    <xf numFmtId="177" fontId="84" fillId="0" borderId="4" xfId="0" quotePrefix="1" applyNumberFormat="1" applyFont="1" applyBorder="1" applyAlignment="1" applyProtection="1">
      <alignment horizontal="right" vertical="center"/>
      <protection locked="0"/>
    </xf>
    <xf numFmtId="177" fontId="86" fillId="81" borderId="4" xfId="0" applyNumberFormat="1" applyFont="1" applyFill="1" applyBorder="1" applyAlignment="1" applyProtection="1">
      <alignment horizontal="right" vertical="center" shrinkToFit="1"/>
      <protection locked="0"/>
    </xf>
    <xf numFmtId="49" fontId="86" fillId="81" borderId="4" xfId="0" applyNumberFormat="1" applyFont="1" applyFill="1" applyBorder="1" applyAlignment="1" applyProtection="1">
      <alignment horizontal="right" vertical="center"/>
      <protection locked="0"/>
    </xf>
    <xf numFmtId="177" fontId="86" fillId="5" borderId="15" xfId="0" applyNumberFormat="1" applyFont="1" applyFill="1" applyBorder="1" applyAlignment="1" applyProtection="1">
      <alignment horizontal="right" vertical="center"/>
      <protection locked="0"/>
    </xf>
    <xf numFmtId="177" fontId="86" fillId="2" borderId="15" xfId="0" applyNumberFormat="1" applyFont="1" applyFill="1" applyBorder="1" applyAlignment="1" applyProtection="1">
      <alignment horizontal="right" vertical="center"/>
      <protection locked="0"/>
    </xf>
    <xf numFmtId="177" fontId="84" fillId="2" borderId="15" xfId="0" applyNumberFormat="1" applyFont="1" applyFill="1" applyBorder="1" applyAlignment="1" applyProtection="1">
      <alignment horizontal="right" vertical="center"/>
      <protection locked="0"/>
    </xf>
    <xf numFmtId="177" fontId="86" fillId="81" borderId="75" xfId="0" applyNumberFormat="1" applyFont="1" applyFill="1" applyBorder="1" applyAlignment="1" applyProtection="1">
      <alignment horizontal="right" vertical="center" shrinkToFit="1"/>
      <protection locked="0"/>
    </xf>
    <xf numFmtId="178" fontId="86" fillId="81" borderId="71" xfId="0" applyNumberFormat="1" applyFont="1" applyFill="1" applyBorder="1" applyAlignment="1" applyProtection="1">
      <alignment horizontal="right" vertical="center" shrinkToFit="1"/>
      <protection locked="0"/>
    </xf>
    <xf numFmtId="177" fontId="86" fillId="81" borderId="71" xfId="0" applyNumberFormat="1" applyFont="1" applyFill="1" applyBorder="1" applyAlignment="1" applyProtection="1">
      <alignment horizontal="right" vertical="center" shrinkToFit="1"/>
      <protection locked="0"/>
    </xf>
    <xf numFmtId="177" fontId="86" fillId="81" borderId="72" xfId="0" applyNumberFormat="1" applyFont="1" applyFill="1" applyBorder="1" applyAlignment="1" applyProtection="1">
      <alignment horizontal="right" vertical="center" shrinkToFit="1"/>
      <protection locked="0"/>
    </xf>
    <xf numFmtId="184" fontId="86" fillId="0" borderId="4" xfId="0" applyNumberFormat="1" applyFont="1" applyBorder="1" applyAlignment="1">
      <alignment horizontal="right" vertical="center"/>
    </xf>
    <xf numFmtId="177" fontId="86" fillId="81" borderId="75" xfId="0" applyNumberFormat="1" applyFont="1" applyFill="1" applyBorder="1" applyAlignment="1">
      <alignment vertical="center" shrinkToFit="1"/>
    </xf>
    <xf numFmtId="177" fontId="86" fillId="81" borderId="71" xfId="0" applyNumberFormat="1" applyFont="1" applyFill="1" applyBorder="1" applyAlignment="1">
      <alignment vertical="center" shrinkToFit="1"/>
    </xf>
    <xf numFmtId="177" fontId="86" fillId="81" borderId="72" xfId="0" applyNumberFormat="1" applyFont="1" applyFill="1" applyBorder="1" applyAlignment="1">
      <alignment vertical="center" shrinkToFit="1"/>
    </xf>
    <xf numFmtId="178" fontId="86" fillId="0" borderId="0" xfId="95" applyNumberFormat="1" applyFont="1" applyFill="1" applyAlignment="1" applyProtection="1">
      <alignment horizontal="right" vertical="center"/>
      <protection locked="0"/>
    </xf>
    <xf numFmtId="189" fontId="86" fillId="0" borderId="15" xfId="0" applyNumberFormat="1" applyFont="1" applyBorder="1" applyAlignment="1" applyProtection="1">
      <alignment horizontal="right" vertical="center" shrinkToFit="1"/>
      <protection locked="0"/>
    </xf>
    <xf numFmtId="177" fontId="86" fillId="81" borderId="25" xfId="0" applyNumberFormat="1" applyFont="1" applyFill="1" applyBorder="1" applyAlignment="1">
      <alignment horizontal="right" vertical="center"/>
    </xf>
    <xf numFmtId="177" fontId="86" fillId="0" borderId="159" xfId="0" applyNumberFormat="1" applyFont="1" applyBorder="1" applyAlignment="1">
      <alignment horizontal="right" vertical="center"/>
    </xf>
    <xf numFmtId="177" fontId="86" fillId="0" borderId="160" xfId="0" applyNumberFormat="1" applyFont="1" applyBorder="1" applyAlignment="1">
      <alignment horizontal="right" vertical="center"/>
    </xf>
    <xf numFmtId="0" fontId="86" fillId="0" borderId="0" xfId="0" applyFont="1" applyAlignment="1" applyProtection="1">
      <alignment horizontal="right" vertical="center"/>
      <protection locked="0"/>
    </xf>
    <xf numFmtId="177" fontId="84" fillId="0" borderId="0" xfId="95" applyNumberFormat="1" applyFont="1" applyFill="1" applyAlignment="1" applyProtection="1">
      <alignment horizontal="right" vertical="center"/>
      <protection locked="0"/>
    </xf>
    <xf numFmtId="177" fontId="86" fillId="81" borderId="0" xfId="110" applyNumberFormat="1" applyFont="1" applyFill="1" applyBorder="1" applyAlignment="1" applyProtection="1">
      <alignment horizontal="right" vertical="center"/>
      <protection locked="0"/>
    </xf>
    <xf numFmtId="177" fontId="86" fillId="0" borderId="0" xfId="110" applyNumberFormat="1" applyFont="1" applyFill="1" applyBorder="1" applyAlignment="1" applyProtection="1">
      <alignment horizontal="right" vertical="center"/>
      <protection locked="0"/>
    </xf>
    <xf numFmtId="0" fontId="84" fillId="0" borderId="51" xfId="0" applyFont="1" applyBorder="1" applyAlignment="1" applyProtection="1">
      <alignment horizontal="right" vertical="center"/>
      <protection locked="0"/>
    </xf>
    <xf numFmtId="177" fontId="86" fillId="81" borderId="51" xfId="95" applyNumberFormat="1" applyFont="1" applyFill="1" applyBorder="1" applyAlignment="1" applyProtection="1">
      <alignment horizontal="right" vertical="center"/>
      <protection locked="0"/>
    </xf>
    <xf numFmtId="177" fontId="76" fillId="0" borderId="4" xfId="0" quotePrefix="1" applyNumberFormat="1" applyFont="1" applyBorder="1" applyAlignment="1">
      <alignment horizontal="right" vertical="center"/>
    </xf>
    <xf numFmtId="178" fontId="86" fillId="81" borderId="4" xfId="110" applyNumberFormat="1" applyFont="1" applyFill="1" applyBorder="1" applyAlignment="1">
      <alignment horizontal="right" vertical="center"/>
    </xf>
    <xf numFmtId="177" fontId="84" fillId="0" borderId="47" xfId="261" applyNumberFormat="1" applyFont="1" applyBorder="1" applyAlignment="1">
      <alignment horizontal="right" vertical="center"/>
    </xf>
    <xf numFmtId="184" fontId="86" fillId="0" borderId="161" xfId="136" applyNumberFormat="1" applyFont="1" applyBorder="1" applyAlignment="1">
      <alignment horizontal="right" vertical="center"/>
    </xf>
    <xf numFmtId="38" fontId="86" fillId="0" borderId="161" xfId="110" applyFont="1" applyBorder="1" applyAlignment="1">
      <alignment horizontal="right" vertical="center"/>
    </xf>
    <xf numFmtId="177" fontId="84" fillId="0" borderId="159" xfId="0" applyNumberFormat="1" applyFont="1" applyBorder="1" applyAlignment="1" applyProtection="1">
      <alignment horizontal="right" vertical="center"/>
      <protection locked="0"/>
    </xf>
    <xf numFmtId="177" fontId="86" fillId="0" borderId="161" xfId="0" applyNumberFormat="1" applyFont="1" applyBorder="1" applyAlignment="1" applyProtection="1">
      <alignment horizontal="right" vertical="center"/>
      <protection locked="0"/>
    </xf>
    <xf numFmtId="177" fontId="84" fillId="0" borderId="51" xfId="0" quotePrefix="1" applyNumberFormat="1" applyFont="1" applyBorder="1" applyAlignment="1">
      <alignment horizontal="right" vertical="center"/>
    </xf>
    <xf numFmtId="177" fontId="86" fillId="0" borderId="53" xfId="0" applyNumberFormat="1" applyFont="1" applyBorder="1" applyAlignment="1">
      <alignment horizontal="right" vertical="center"/>
    </xf>
    <xf numFmtId="179" fontId="86" fillId="81" borderId="4" xfId="0" applyNumberFormat="1" applyFont="1" applyFill="1" applyBorder="1" applyAlignment="1">
      <alignment horizontal="right" vertical="center"/>
    </xf>
    <xf numFmtId="179" fontId="86" fillId="0" borderId="4" xfId="0" applyNumberFormat="1" applyFont="1" applyBorder="1" applyAlignment="1">
      <alignment horizontal="right" vertical="center"/>
    </xf>
    <xf numFmtId="177" fontId="11" fillId="81" borderId="53" xfId="0" applyNumberFormat="1" applyFont="1" applyFill="1" applyBorder="1" applyAlignment="1">
      <alignment horizontal="right" vertical="center" shrinkToFit="1"/>
    </xf>
    <xf numFmtId="177" fontId="11" fillId="81" borderId="12" xfId="0" applyNumberFormat="1" applyFont="1" applyFill="1" applyBorder="1" applyAlignment="1">
      <alignment horizontal="right" vertical="center"/>
    </xf>
    <xf numFmtId="178" fontId="84" fillId="0" borderId="47" xfId="0" applyNumberFormat="1" applyFont="1" applyBorder="1" applyAlignment="1">
      <alignment horizontal="right" vertical="center"/>
    </xf>
    <xf numFmtId="179" fontId="11" fillId="81" borderId="4" xfId="136" applyNumberFormat="1" applyFont="1" applyFill="1" applyBorder="1" applyAlignment="1">
      <alignment horizontal="right" vertical="center"/>
    </xf>
    <xf numFmtId="178" fontId="11" fillId="81" borderId="53" xfId="0" applyNumberFormat="1" applyFont="1" applyFill="1" applyBorder="1" applyAlignment="1">
      <alignment horizontal="right" vertical="center"/>
    </xf>
    <xf numFmtId="178" fontId="86" fillId="81" borderId="74" xfId="0" applyNumberFormat="1" applyFont="1" applyFill="1" applyBorder="1" applyAlignment="1">
      <alignment horizontal="right" vertical="center"/>
    </xf>
    <xf numFmtId="178" fontId="84" fillId="0" borderId="53" xfId="0" applyNumberFormat="1" applyFont="1" applyBorder="1" applyAlignment="1">
      <alignment horizontal="right" vertical="center"/>
    </xf>
    <xf numFmtId="0" fontId="9" fillId="5" borderId="31" xfId="0" applyFont="1" applyFill="1" applyBorder="1" applyAlignment="1">
      <alignment horizontal="center" vertical="center"/>
    </xf>
    <xf numFmtId="0" fontId="9" fillId="5" borderId="32" xfId="0" applyFont="1" applyFill="1" applyBorder="1" applyAlignment="1">
      <alignment horizontal="center" vertical="center"/>
    </xf>
    <xf numFmtId="178" fontId="86" fillId="0" borderId="161" xfId="0" applyNumberFormat="1" applyFont="1" applyBorder="1" applyAlignment="1">
      <alignment horizontal="right" vertical="center"/>
    </xf>
    <xf numFmtId="178" fontId="86" fillId="81" borderId="161" xfId="0" applyNumberFormat="1" applyFont="1" applyFill="1" applyBorder="1" applyAlignment="1">
      <alignment horizontal="right" vertical="center"/>
    </xf>
    <xf numFmtId="179" fontId="11" fillId="81" borderId="47" xfId="136" applyNumberFormat="1" applyFont="1" applyFill="1" applyBorder="1" applyAlignment="1">
      <alignment horizontal="right" vertical="center"/>
    </xf>
    <xf numFmtId="178" fontId="86" fillId="0" borderId="15" xfId="0" applyNumberFormat="1" applyFont="1" applyBorder="1" applyAlignment="1" applyProtection="1">
      <alignment horizontal="right" vertical="center" shrinkToFit="1"/>
      <protection locked="0"/>
    </xf>
    <xf numFmtId="178" fontId="86" fillId="81" borderId="159" xfId="0" applyNumberFormat="1" applyFont="1" applyFill="1" applyBorder="1" applyAlignment="1" applyProtection="1">
      <alignment horizontal="right" vertical="center"/>
      <protection locked="0"/>
    </xf>
    <xf numFmtId="0" fontId="76" fillId="0" borderId="161" xfId="0" applyFont="1" applyBorder="1" applyAlignment="1">
      <alignment horizontal="center" shrinkToFit="1"/>
    </xf>
    <xf numFmtId="0" fontId="79" fillId="0" borderId="161" xfId="0" applyFont="1" applyBorder="1" applyAlignment="1">
      <alignment horizontal="center" vertical="center" wrapText="1"/>
    </xf>
    <xf numFmtId="0" fontId="79" fillId="0" borderId="160" xfId="0" applyFont="1" applyBorder="1" applyAlignment="1">
      <alignment horizontal="center" vertical="center" wrapText="1"/>
    </xf>
    <xf numFmtId="178" fontId="86" fillId="5" borderId="161" xfId="0" applyNumberFormat="1" applyFont="1" applyFill="1" applyBorder="1" applyAlignment="1" applyProtection="1">
      <alignment horizontal="right" vertical="center"/>
      <protection locked="0"/>
    </xf>
    <xf numFmtId="177" fontId="86" fillId="5" borderId="161" xfId="0" applyNumberFormat="1" applyFont="1" applyFill="1" applyBorder="1" applyAlignment="1" applyProtection="1">
      <alignment horizontal="right" vertical="center"/>
      <protection locked="0"/>
    </xf>
    <xf numFmtId="180" fontId="86" fillId="81" borderId="160" xfId="0" applyNumberFormat="1" applyFont="1" applyFill="1" applyBorder="1" applyAlignment="1" applyProtection="1">
      <alignment horizontal="right" vertical="center"/>
      <protection locked="0"/>
    </xf>
    <xf numFmtId="178" fontId="86" fillId="5" borderId="159" xfId="0" applyNumberFormat="1" applyFont="1" applyFill="1" applyBorder="1" applyAlignment="1" applyProtection="1">
      <alignment horizontal="right" vertical="center"/>
      <protection locked="0"/>
    </xf>
    <xf numFmtId="180" fontId="86" fillId="5" borderId="161" xfId="0" applyNumberFormat="1" applyFont="1" applyFill="1" applyBorder="1" applyAlignment="1" applyProtection="1">
      <alignment horizontal="right" vertical="center"/>
      <protection locked="0"/>
    </xf>
    <xf numFmtId="178" fontId="84" fillId="2" borderId="161" xfId="0" applyNumberFormat="1" applyFont="1" applyFill="1" applyBorder="1" applyAlignment="1" applyProtection="1">
      <alignment horizontal="right" vertical="center"/>
      <protection locked="0"/>
    </xf>
    <xf numFmtId="177" fontId="84" fillId="2" borderId="161" xfId="0" applyNumberFormat="1" applyFont="1" applyFill="1" applyBorder="1" applyAlignment="1" applyProtection="1">
      <alignment horizontal="right" vertical="center"/>
      <protection locked="0"/>
    </xf>
    <xf numFmtId="180" fontId="84" fillId="0" borderId="160" xfId="0" applyNumberFormat="1" applyFont="1" applyBorder="1" applyAlignment="1" applyProtection="1">
      <alignment horizontal="right" vertical="center"/>
      <protection locked="0"/>
    </xf>
    <xf numFmtId="178" fontId="84" fillId="2" borderId="159" xfId="0" applyNumberFormat="1" applyFont="1" applyFill="1" applyBorder="1" applyAlignment="1" applyProtection="1">
      <alignment horizontal="right" vertical="center"/>
      <protection locked="0"/>
    </xf>
    <xf numFmtId="177" fontId="84" fillId="0" borderId="160" xfId="0" applyNumberFormat="1" applyFont="1" applyBorder="1" applyAlignment="1">
      <alignment horizontal="right" vertical="center"/>
    </xf>
    <xf numFmtId="178" fontId="84" fillId="0" borderId="161" xfId="0" applyNumberFormat="1" applyFont="1" applyBorder="1" applyAlignment="1" applyProtection="1">
      <alignment horizontal="right" vertical="center"/>
      <protection locked="0"/>
    </xf>
    <xf numFmtId="178" fontId="84" fillId="2" borderId="160" xfId="0" applyNumberFormat="1" applyFont="1" applyFill="1" applyBorder="1" applyAlignment="1" applyProtection="1">
      <alignment horizontal="right" vertical="center"/>
      <protection locked="0"/>
    </xf>
    <xf numFmtId="0" fontId="84" fillId="2" borderId="161" xfId="0" applyFont="1" applyFill="1" applyBorder="1" applyAlignment="1" applyProtection="1">
      <alignment horizontal="right" vertical="center"/>
      <protection locked="0"/>
    </xf>
    <xf numFmtId="180" fontId="84" fillId="2" borderId="161" xfId="0" applyNumberFormat="1" applyFont="1" applyFill="1" applyBorder="1" applyAlignment="1" applyProtection="1">
      <alignment horizontal="right" vertical="center"/>
      <protection locked="0"/>
    </xf>
    <xf numFmtId="178" fontId="86" fillId="81" borderId="161" xfId="0" applyNumberFormat="1" applyFont="1" applyFill="1" applyBorder="1" applyAlignment="1" applyProtection="1">
      <alignment horizontal="right" vertical="center"/>
      <protection locked="0"/>
    </xf>
    <xf numFmtId="177" fontId="86" fillId="81" borderId="161" xfId="0" applyNumberFormat="1" applyFont="1" applyFill="1" applyBorder="1" applyAlignment="1" applyProtection="1">
      <alignment horizontal="right" vertical="center"/>
      <protection locked="0"/>
    </xf>
    <xf numFmtId="177" fontId="86" fillId="81" borderId="160" xfId="0" applyNumberFormat="1" applyFont="1" applyFill="1" applyBorder="1" applyAlignment="1">
      <alignment horizontal="right" vertical="center"/>
    </xf>
    <xf numFmtId="178" fontId="86" fillId="81" borderId="160" xfId="0" applyNumberFormat="1" applyFont="1" applyFill="1" applyBorder="1" applyAlignment="1" applyProtection="1">
      <alignment horizontal="right" vertical="center"/>
      <protection locked="0"/>
    </xf>
    <xf numFmtId="0" fontId="86" fillId="81" borderId="161" xfId="0" applyFont="1" applyFill="1" applyBorder="1" applyAlignment="1" applyProtection="1">
      <alignment horizontal="right" vertical="center"/>
      <protection locked="0"/>
    </xf>
    <xf numFmtId="180" fontId="86" fillId="81" borderId="161" xfId="0" applyNumberFormat="1" applyFont="1" applyFill="1" applyBorder="1" applyAlignment="1" applyProtection="1">
      <alignment horizontal="right" vertical="center"/>
      <protection locked="0"/>
    </xf>
    <xf numFmtId="178" fontId="86" fillId="2" borderId="161" xfId="0" applyNumberFormat="1" applyFont="1" applyFill="1" applyBorder="1" applyAlignment="1" applyProtection="1">
      <alignment horizontal="right" vertical="center"/>
      <protection locked="0"/>
    </xf>
    <xf numFmtId="177" fontId="86" fillId="2" borderId="161" xfId="0" applyNumberFormat="1" applyFont="1" applyFill="1" applyBorder="1" applyAlignment="1" applyProtection="1">
      <alignment horizontal="right" vertical="center"/>
      <protection locked="0"/>
    </xf>
    <xf numFmtId="180" fontId="86" fillId="2" borderId="160" xfId="0" applyNumberFormat="1" applyFont="1" applyFill="1" applyBorder="1" applyAlignment="1" applyProtection="1">
      <alignment horizontal="right" vertical="center"/>
      <protection locked="0"/>
    </xf>
    <xf numFmtId="178" fontId="86" fillId="2" borderId="159" xfId="0" applyNumberFormat="1" applyFont="1" applyFill="1" applyBorder="1" applyAlignment="1" applyProtection="1">
      <alignment horizontal="right" vertical="center"/>
      <protection locked="0"/>
    </xf>
    <xf numFmtId="178" fontId="86" fillId="2" borderId="160" xfId="0" applyNumberFormat="1" applyFont="1" applyFill="1" applyBorder="1" applyAlignment="1" applyProtection="1">
      <alignment horizontal="right" vertical="center"/>
      <protection locked="0"/>
    </xf>
    <xf numFmtId="0" fontId="86" fillId="2" borderId="161" xfId="0" applyFont="1" applyFill="1" applyBorder="1" applyAlignment="1" applyProtection="1">
      <alignment horizontal="right" vertical="center"/>
      <protection locked="0"/>
    </xf>
    <xf numFmtId="180" fontId="86" fillId="2" borderId="161" xfId="0" applyNumberFormat="1" applyFont="1" applyFill="1" applyBorder="1" applyAlignment="1" applyProtection="1">
      <alignment horizontal="right" vertical="center"/>
      <protection locked="0"/>
    </xf>
    <xf numFmtId="177" fontId="86" fillId="5" borderId="160" xfId="0" applyNumberFormat="1" applyFont="1" applyFill="1" applyBorder="1" applyAlignment="1">
      <alignment horizontal="right" vertical="center"/>
    </xf>
    <xf numFmtId="178" fontId="86" fillId="5" borderId="160" xfId="0" applyNumberFormat="1" applyFont="1" applyFill="1" applyBorder="1" applyAlignment="1" applyProtection="1">
      <alignment horizontal="right" vertical="center"/>
      <protection locked="0"/>
    </xf>
    <xf numFmtId="0" fontId="86" fillId="5" borderId="161" xfId="0" applyFont="1" applyFill="1" applyBorder="1" applyAlignment="1" applyProtection="1">
      <alignment horizontal="right" vertical="center"/>
      <protection locked="0"/>
    </xf>
    <xf numFmtId="177" fontId="86" fillId="80" borderId="161" xfId="0" applyNumberFormat="1" applyFont="1" applyFill="1" applyBorder="1" applyAlignment="1" applyProtection="1">
      <alignment horizontal="right" vertical="center"/>
      <protection locked="0"/>
    </xf>
    <xf numFmtId="178" fontId="86" fillId="80" borderId="161" xfId="0" applyNumberFormat="1" applyFont="1" applyFill="1" applyBorder="1" applyAlignment="1" applyProtection="1">
      <alignment horizontal="right" vertical="center"/>
      <protection locked="0"/>
    </xf>
    <xf numFmtId="188" fontId="86" fillId="80" borderId="159" xfId="0" applyNumberFormat="1" applyFont="1" applyFill="1" applyBorder="1" applyAlignment="1" applyProtection="1">
      <alignment horizontal="right" vertical="center"/>
      <protection locked="0"/>
    </xf>
    <xf numFmtId="188" fontId="86" fillId="80" borderId="161" xfId="0" applyNumberFormat="1" applyFont="1" applyFill="1" applyBorder="1" applyAlignment="1" applyProtection="1">
      <alignment horizontal="right" vertical="center"/>
      <protection locked="0"/>
    </xf>
    <xf numFmtId="177" fontId="86" fillId="80" borderId="159" xfId="0" applyNumberFormat="1" applyFont="1" applyFill="1" applyBorder="1" applyAlignment="1" applyProtection="1">
      <alignment horizontal="right" vertical="center"/>
      <protection locked="0"/>
    </xf>
    <xf numFmtId="180" fontId="86" fillId="80" borderId="160" xfId="0" applyNumberFormat="1" applyFont="1" applyFill="1" applyBorder="1" applyAlignment="1" applyProtection="1">
      <alignment horizontal="right" vertical="center"/>
      <protection locked="0"/>
    </xf>
    <xf numFmtId="177" fontId="86" fillId="0" borderId="160" xfId="0" applyNumberFormat="1" applyFont="1" applyBorder="1" applyAlignment="1" applyProtection="1">
      <alignment horizontal="right" vertical="center"/>
      <protection locked="0"/>
    </xf>
    <xf numFmtId="178" fontId="86" fillId="0" borderId="161" xfId="0" applyNumberFormat="1" applyFont="1" applyBorder="1" applyAlignment="1" applyProtection="1">
      <alignment horizontal="right" vertical="center"/>
      <protection locked="0"/>
    </xf>
    <xf numFmtId="178" fontId="86" fillId="0" borderId="160" xfId="0" applyNumberFormat="1" applyFont="1" applyBorder="1" applyAlignment="1" applyProtection="1">
      <alignment horizontal="right" vertical="center"/>
      <protection locked="0"/>
    </xf>
    <xf numFmtId="0" fontId="86" fillId="0" borderId="161" xfId="0" applyFont="1" applyBorder="1" applyAlignment="1" applyProtection="1">
      <alignment horizontal="right" vertical="center"/>
      <protection locked="0"/>
    </xf>
    <xf numFmtId="180" fontId="86" fillId="80" borderId="161" xfId="0" applyNumberFormat="1" applyFont="1" applyFill="1" applyBorder="1" applyAlignment="1" applyProtection="1">
      <alignment horizontal="right" vertical="center"/>
      <protection locked="0"/>
    </xf>
    <xf numFmtId="188" fontId="86" fillId="81" borderId="159" xfId="0" applyNumberFormat="1" applyFont="1" applyFill="1" applyBorder="1" applyAlignment="1" applyProtection="1">
      <alignment horizontal="right" vertical="center"/>
      <protection locked="0"/>
    </xf>
    <xf numFmtId="188" fontId="86" fillId="81" borderId="161" xfId="0" applyNumberFormat="1" applyFont="1" applyFill="1" applyBorder="1" applyAlignment="1" applyProtection="1">
      <alignment horizontal="right" vertical="center"/>
      <protection locked="0"/>
    </xf>
    <xf numFmtId="177" fontId="86" fillId="81" borderId="159" xfId="0" applyNumberFormat="1" applyFont="1" applyFill="1" applyBorder="1" applyAlignment="1" applyProtection="1">
      <alignment horizontal="right" vertical="center"/>
      <protection locked="0"/>
    </xf>
    <xf numFmtId="177" fontId="86" fillId="81" borderId="160" xfId="0" applyNumberFormat="1" applyFont="1" applyFill="1" applyBorder="1" applyAlignment="1" applyProtection="1">
      <alignment horizontal="right" vertical="center"/>
      <protection locked="0"/>
    </xf>
    <xf numFmtId="188" fontId="86" fillId="0" borderId="159" xfId="0" applyNumberFormat="1" applyFont="1" applyBorder="1" applyAlignment="1" applyProtection="1">
      <alignment horizontal="right" vertical="center"/>
      <protection locked="0"/>
    </xf>
    <xf numFmtId="188" fontId="86" fillId="0" borderId="161" xfId="0" applyNumberFormat="1" applyFont="1" applyBorder="1" applyAlignment="1" applyProtection="1">
      <alignment horizontal="right" vertical="center"/>
      <protection locked="0"/>
    </xf>
    <xf numFmtId="177" fontId="86" fillId="0" borderId="159" xfId="0" applyNumberFormat="1" applyFont="1" applyBorder="1" applyAlignment="1" applyProtection="1">
      <alignment horizontal="right" vertical="center"/>
      <protection locked="0"/>
    </xf>
    <xf numFmtId="180" fontId="86" fillId="0" borderId="160" xfId="0" applyNumberFormat="1" applyFont="1" applyBorder="1" applyAlignment="1" applyProtection="1">
      <alignment horizontal="right" vertical="center"/>
      <protection locked="0"/>
    </xf>
    <xf numFmtId="177" fontId="86" fillId="0" borderId="161" xfId="0" applyNumberFormat="1" applyFont="1" applyBorder="1" applyAlignment="1" applyProtection="1">
      <alignment horizontal="right" vertical="center" shrinkToFit="1"/>
      <protection locked="0"/>
    </xf>
    <xf numFmtId="178" fontId="86" fillId="0" borderId="161" xfId="0" applyNumberFormat="1" applyFont="1" applyBorder="1" applyAlignment="1" applyProtection="1">
      <alignment horizontal="right" vertical="center" shrinkToFit="1"/>
      <protection locked="0"/>
    </xf>
    <xf numFmtId="177" fontId="86" fillId="0" borderId="160" xfId="0" applyNumberFormat="1" applyFont="1" applyBorder="1" applyAlignment="1" applyProtection="1">
      <alignment horizontal="right" vertical="center" shrinkToFit="1"/>
      <protection locked="0"/>
    </xf>
    <xf numFmtId="178" fontId="86" fillId="0" borderId="161" xfId="0" applyNumberFormat="1" applyFont="1" applyBorder="1" applyAlignment="1">
      <alignment horizontal="right" vertical="center" shrinkToFit="1"/>
    </xf>
    <xf numFmtId="178" fontId="86" fillId="0" borderId="160" xfId="0" applyNumberFormat="1" applyFont="1" applyBorder="1" applyAlignment="1" applyProtection="1">
      <alignment horizontal="right" vertical="center" shrinkToFit="1"/>
      <protection locked="0"/>
    </xf>
    <xf numFmtId="0" fontId="86" fillId="0" borderId="161" xfId="0" applyFont="1" applyBorder="1" applyAlignment="1" applyProtection="1">
      <alignment horizontal="right" vertical="center" shrinkToFit="1"/>
      <protection locked="0"/>
    </xf>
    <xf numFmtId="180" fontId="86" fillId="0" borderId="161" xfId="0" applyNumberFormat="1" applyFont="1" applyBorder="1" applyAlignment="1" applyProtection="1">
      <alignment horizontal="right" vertical="center" shrinkToFit="1"/>
      <protection locked="0"/>
    </xf>
    <xf numFmtId="178" fontId="86" fillId="0" borderId="159" xfId="0" applyNumberFormat="1" applyFont="1" applyBorder="1" applyAlignment="1" applyProtection="1">
      <alignment horizontal="right" vertical="center"/>
      <protection locked="0"/>
    </xf>
    <xf numFmtId="187" fontId="86" fillId="0" borderId="161" xfId="110" applyNumberFormat="1" applyFont="1" applyFill="1" applyBorder="1" applyAlignment="1" applyProtection="1">
      <alignment horizontal="right" vertical="center"/>
      <protection locked="0"/>
    </xf>
    <xf numFmtId="180" fontId="86" fillId="0" borderId="161" xfId="0" applyNumberFormat="1" applyFont="1" applyBorder="1" applyAlignment="1" applyProtection="1">
      <alignment horizontal="right" vertical="center"/>
      <protection locked="0"/>
    </xf>
    <xf numFmtId="49" fontId="86" fillId="0" borderId="159" xfId="0" applyNumberFormat="1" applyFont="1" applyBorder="1" applyAlignment="1" applyProtection="1">
      <alignment horizontal="right" vertical="center"/>
      <protection locked="0"/>
    </xf>
    <xf numFmtId="49" fontId="86" fillId="0" borderId="160" xfId="0" applyNumberFormat="1" applyFont="1" applyBorder="1" applyAlignment="1" applyProtection="1">
      <alignment horizontal="right" vertical="center"/>
      <protection locked="0"/>
    </xf>
    <xf numFmtId="0" fontId="86" fillId="0" borderId="159" xfId="0" applyFont="1" applyBorder="1" applyAlignment="1" applyProtection="1">
      <alignment horizontal="right" vertical="center"/>
      <protection locked="0"/>
    </xf>
    <xf numFmtId="49" fontId="86" fillId="81" borderId="159" xfId="0" applyNumberFormat="1" applyFont="1" applyFill="1" applyBorder="1" applyAlignment="1" applyProtection="1">
      <alignment horizontal="right" vertical="center"/>
      <protection locked="0"/>
    </xf>
    <xf numFmtId="49" fontId="86" fillId="81" borderId="160" xfId="0" applyNumberFormat="1" applyFont="1" applyFill="1" applyBorder="1" applyAlignment="1" applyProtection="1">
      <alignment horizontal="right" vertical="center"/>
      <protection locked="0"/>
    </xf>
    <xf numFmtId="0" fontId="86" fillId="81" borderId="159" xfId="0" applyFont="1" applyFill="1" applyBorder="1" applyAlignment="1" applyProtection="1">
      <alignment horizontal="right" vertical="center"/>
      <protection locked="0"/>
    </xf>
    <xf numFmtId="178" fontId="86" fillId="0" borderId="161" xfId="0" quotePrefix="1" applyNumberFormat="1" applyFont="1" applyBorder="1" applyAlignment="1" applyProtection="1">
      <alignment horizontal="right" vertical="center"/>
      <protection locked="0"/>
    </xf>
    <xf numFmtId="178" fontId="86" fillId="0" borderId="160" xfId="0" quotePrefix="1" applyNumberFormat="1" applyFont="1" applyBorder="1" applyAlignment="1" applyProtection="1">
      <alignment horizontal="right" vertical="center"/>
      <protection locked="0"/>
    </xf>
    <xf numFmtId="0" fontId="86" fillId="0" borderId="161" xfId="0" quotePrefix="1" applyFont="1" applyBorder="1" applyAlignment="1" applyProtection="1">
      <alignment horizontal="right" vertical="center"/>
      <protection locked="0"/>
    </xf>
    <xf numFmtId="180" fontId="86" fillId="0" borderId="162" xfId="0" applyNumberFormat="1" applyFont="1" applyBorder="1" applyAlignment="1" applyProtection="1">
      <alignment horizontal="right" vertical="center" wrapText="1"/>
      <protection locked="0"/>
    </xf>
    <xf numFmtId="187" fontId="86" fillId="81" borderId="161" xfId="110" applyNumberFormat="1" applyFont="1" applyFill="1" applyBorder="1" applyAlignment="1" applyProtection="1">
      <alignment horizontal="right" vertical="center"/>
      <protection locked="0"/>
    </xf>
    <xf numFmtId="178" fontId="86" fillId="82" borderId="161" xfId="0" applyNumberFormat="1" applyFont="1" applyFill="1" applyBorder="1" applyAlignment="1" applyProtection="1">
      <alignment horizontal="right" vertical="center"/>
      <protection locked="0"/>
    </xf>
    <xf numFmtId="178" fontId="86" fillId="81" borderId="159" xfId="0" applyNumberFormat="1" applyFont="1" applyFill="1" applyBorder="1" applyAlignment="1">
      <alignment horizontal="right" vertical="center"/>
    </xf>
    <xf numFmtId="178" fontId="86" fillId="0" borderId="159" xfId="0" applyNumberFormat="1" applyFont="1" applyBorder="1" applyAlignment="1">
      <alignment horizontal="right" vertical="center"/>
    </xf>
    <xf numFmtId="1" fontId="86" fillId="81" borderId="160" xfId="0" applyNumberFormat="1" applyFont="1" applyFill="1" applyBorder="1" applyAlignment="1">
      <alignment horizontal="right" vertical="center"/>
    </xf>
    <xf numFmtId="177" fontId="86" fillId="0" borderId="161" xfId="142" applyNumberFormat="1" applyFont="1" applyBorder="1" applyAlignment="1" applyProtection="1">
      <alignment horizontal="right" vertical="center"/>
      <protection locked="0"/>
    </xf>
    <xf numFmtId="1" fontId="86" fillId="0" borderId="160" xfId="0" applyNumberFormat="1" applyFont="1" applyBorder="1" applyAlignment="1">
      <alignment horizontal="right" vertical="center"/>
    </xf>
    <xf numFmtId="177" fontId="86" fillId="82" borderId="161" xfId="0" applyNumberFormat="1" applyFont="1" applyFill="1" applyBorder="1" applyAlignment="1" applyProtection="1">
      <alignment horizontal="right" vertical="center"/>
      <protection locked="0"/>
    </xf>
    <xf numFmtId="177" fontId="86" fillId="82" borderId="159" xfId="0" applyNumberFormat="1" applyFont="1" applyFill="1" applyBorder="1" applyAlignment="1" applyProtection="1">
      <alignment horizontal="right" vertical="center"/>
      <protection locked="0"/>
    </xf>
    <xf numFmtId="180" fontId="86" fillId="82" borderId="160" xfId="0" applyNumberFormat="1" applyFont="1" applyFill="1" applyBorder="1" applyAlignment="1" applyProtection="1">
      <alignment horizontal="right" vertical="center"/>
      <protection locked="0"/>
    </xf>
    <xf numFmtId="178" fontId="86" fillId="82" borderId="159" xfId="0" applyNumberFormat="1" applyFont="1" applyFill="1" applyBorder="1" applyAlignment="1" applyProtection="1">
      <alignment horizontal="right" vertical="center"/>
      <protection locked="0"/>
    </xf>
    <xf numFmtId="1" fontId="86" fillId="82" borderId="160" xfId="0" applyNumberFormat="1" applyFont="1" applyFill="1" applyBorder="1" applyAlignment="1">
      <alignment horizontal="right" vertical="center"/>
    </xf>
    <xf numFmtId="178" fontId="86" fillId="82" borderId="160" xfId="0" applyNumberFormat="1" applyFont="1" applyFill="1" applyBorder="1" applyAlignment="1" applyProtection="1">
      <alignment horizontal="right" vertical="center"/>
      <protection locked="0"/>
    </xf>
    <xf numFmtId="0" fontId="86" fillId="82" borderId="161" xfId="0" applyFont="1" applyFill="1" applyBorder="1" applyAlignment="1" applyProtection="1">
      <alignment horizontal="right" vertical="center"/>
      <protection locked="0"/>
    </xf>
    <xf numFmtId="177" fontId="86" fillId="0" borderId="160" xfId="110" applyNumberFormat="1" applyFont="1" applyFill="1" applyBorder="1" applyAlignment="1">
      <alignment horizontal="right" vertical="center"/>
    </xf>
    <xf numFmtId="177" fontId="84" fillId="0" borderId="161" xfId="0" applyNumberFormat="1" applyFont="1" applyBorder="1" applyAlignment="1" applyProtection="1">
      <alignment horizontal="right" vertical="center"/>
      <protection locked="0"/>
    </xf>
    <xf numFmtId="178" fontId="84" fillId="0" borderId="160" xfId="0" applyNumberFormat="1" applyFont="1" applyBorder="1" applyAlignment="1" applyProtection="1">
      <alignment horizontal="right" vertical="center"/>
      <protection locked="0"/>
    </xf>
    <xf numFmtId="0" fontId="84" fillId="0" borderId="161" xfId="0" applyFont="1" applyBorder="1" applyAlignment="1" applyProtection="1">
      <alignment horizontal="right" vertical="center"/>
      <protection locked="0"/>
    </xf>
    <xf numFmtId="180" fontId="84" fillId="0" borderId="161" xfId="0" applyNumberFormat="1" applyFont="1" applyBorder="1" applyAlignment="1" applyProtection="1">
      <alignment horizontal="right" vertical="center"/>
      <protection locked="0"/>
    </xf>
    <xf numFmtId="177" fontId="86" fillId="82" borderId="160" xfId="0" applyNumberFormat="1" applyFont="1" applyFill="1" applyBorder="1" applyAlignment="1">
      <alignment horizontal="right" vertical="center"/>
    </xf>
    <xf numFmtId="180" fontId="86" fillId="82" borderId="161" xfId="0" applyNumberFormat="1" applyFont="1" applyFill="1" applyBorder="1" applyAlignment="1" applyProtection="1">
      <alignment horizontal="right" vertical="center"/>
      <protection locked="0"/>
    </xf>
    <xf numFmtId="0" fontId="86" fillId="0" borderId="160" xfId="0" applyFont="1" applyBorder="1" applyAlignment="1" applyProtection="1">
      <alignment horizontal="right" vertical="center"/>
      <protection locked="0"/>
    </xf>
    <xf numFmtId="178" fontId="84" fillId="0" borderId="159" xfId="0" applyNumberFormat="1" applyFont="1" applyBorder="1" applyAlignment="1" applyProtection="1">
      <alignment horizontal="right" vertical="center"/>
      <protection locked="0"/>
    </xf>
    <xf numFmtId="177" fontId="84" fillId="0" borderId="160" xfId="0" applyNumberFormat="1" applyFont="1" applyBorder="1" applyAlignment="1" applyProtection="1">
      <alignment horizontal="right" vertical="center"/>
      <protection locked="0"/>
    </xf>
    <xf numFmtId="179" fontId="86" fillId="2" borderId="161" xfId="136" applyNumberFormat="1" applyFont="1" applyFill="1" applyBorder="1" applyAlignment="1">
      <alignment horizontal="right" vertical="center"/>
    </xf>
    <xf numFmtId="177" fontId="86" fillId="0" borderId="161" xfId="0" applyNumberFormat="1" applyFont="1" applyBorder="1" applyProtection="1">
      <alignment vertical="center"/>
      <protection locked="0"/>
    </xf>
    <xf numFmtId="178" fontId="86" fillId="0" borderId="161" xfId="0" applyNumberFormat="1" applyFont="1" applyBorder="1" applyProtection="1">
      <alignment vertical="center"/>
      <protection locked="0"/>
    </xf>
    <xf numFmtId="178" fontId="86" fillId="0" borderId="160" xfId="0" applyNumberFormat="1" applyFont="1" applyBorder="1" applyProtection="1">
      <alignment vertical="center"/>
      <protection locked="0"/>
    </xf>
    <xf numFmtId="180" fontId="86" fillId="0" borderId="161" xfId="0" applyNumberFormat="1" applyFont="1" applyBorder="1" applyProtection="1">
      <alignment vertical="center"/>
      <protection locked="0"/>
    </xf>
    <xf numFmtId="0" fontId="76" fillId="2" borderId="159" xfId="0" applyFont="1" applyFill="1" applyBorder="1">
      <alignment vertical="center"/>
    </xf>
    <xf numFmtId="0" fontId="76" fillId="0" borderId="159" xfId="0" applyFont="1" applyBorder="1" applyAlignment="1">
      <alignment horizontal="center" vertical="center"/>
    </xf>
    <xf numFmtId="178" fontId="84" fillId="80" borderId="161" xfId="0" applyNumberFormat="1" applyFont="1" applyFill="1" applyBorder="1" applyAlignment="1" applyProtection="1">
      <alignment horizontal="right" vertical="center"/>
      <protection locked="0"/>
    </xf>
    <xf numFmtId="179" fontId="86" fillId="82" borderId="159" xfId="0" applyNumberFormat="1" applyFont="1" applyFill="1" applyBorder="1" applyAlignment="1" applyProtection="1">
      <alignment horizontal="right" vertical="center"/>
      <protection locked="0"/>
    </xf>
    <xf numFmtId="179" fontId="86" fillId="82" borderId="160" xfId="0" applyNumberFormat="1" applyFont="1" applyFill="1" applyBorder="1" applyAlignment="1" applyProtection="1">
      <alignment horizontal="right" vertical="center"/>
      <protection locked="0"/>
    </xf>
    <xf numFmtId="188" fontId="86" fillId="82" borderId="159" xfId="0" applyNumberFormat="1" applyFont="1" applyFill="1" applyBorder="1" applyAlignment="1" applyProtection="1">
      <alignment horizontal="right" vertical="center"/>
      <protection locked="0"/>
    </xf>
    <xf numFmtId="178" fontId="86" fillId="0" borderId="159" xfId="0" applyNumberFormat="1" applyFont="1" applyBorder="1" applyAlignment="1" applyProtection="1">
      <alignment horizontal="right" vertical="center" shrinkToFit="1"/>
      <protection locked="0"/>
    </xf>
    <xf numFmtId="178" fontId="86" fillId="5" borderId="159" xfId="0" applyNumberFormat="1" applyFont="1" applyFill="1" applyBorder="1" applyAlignment="1" applyProtection="1">
      <alignment horizontal="right" vertical="center" wrapText="1"/>
      <protection locked="0"/>
    </xf>
    <xf numFmtId="178" fontId="86" fillId="81" borderId="160" xfId="0" applyNumberFormat="1" applyFont="1" applyFill="1" applyBorder="1" applyAlignment="1" applyProtection="1">
      <alignment horizontal="right" vertical="center" shrinkToFit="1"/>
      <protection locked="0"/>
    </xf>
    <xf numFmtId="177" fontId="86" fillId="81" borderId="161" xfId="0" applyNumberFormat="1" applyFont="1" applyFill="1" applyBorder="1" applyProtection="1">
      <alignment vertical="center"/>
      <protection locked="0"/>
    </xf>
    <xf numFmtId="38" fontId="86" fillId="0" borderId="161" xfId="110" applyFont="1" applyFill="1" applyBorder="1" applyAlignment="1" applyProtection="1">
      <alignment horizontal="right" vertical="center"/>
      <protection locked="0"/>
    </xf>
    <xf numFmtId="38" fontId="84" fillId="0" borderId="161" xfId="110" applyFont="1" applyFill="1" applyBorder="1" applyAlignment="1" applyProtection="1">
      <alignment horizontal="right" vertical="center"/>
      <protection locked="0"/>
    </xf>
    <xf numFmtId="178" fontId="86" fillId="2" borderId="161" xfId="0" applyNumberFormat="1" applyFont="1" applyFill="1" applyBorder="1">
      <alignment vertical="center"/>
    </xf>
    <xf numFmtId="177" fontId="86" fillId="2" borderId="161" xfId="0" applyNumberFormat="1" applyFont="1" applyFill="1" applyBorder="1">
      <alignment vertical="center"/>
    </xf>
    <xf numFmtId="178" fontId="86" fillId="2" borderId="159" xfId="0" applyNumberFormat="1" applyFont="1" applyFill="1" applyBorder="1">
      <alignment vertical="center"/>
    </xf>
    <xf numFmtId="178" fontId="86" fillId="2" borderId="160" xfId="0" applyNumberFormat="1" applyFont="1" applyFill="1" applyBorder="1">
      <alignment vertical="center"/>
    </xf>
    <xf numFmtId="0" fontId="75" fillId="0" borderId="159" xfId="0" applyFont="1" applyBorder="1" applyAlignment="1">
      <alignment vertical="center" shrinkToFit="1"/>
    </xf>
    <xf numFmtId="0" fontId="75" fillId="0" borderId="161" xfId="0" applyFont="1" applyBorder="1" applyAlignment="1">
      <alignment vertical="top"/>
    </xf>
    <xf numFmtId="0" fontId="75" fillId="0" borderId="159" xfId="0" applyFont="1" applyBorder="1">
      <alignment vertical="center"/>
    </xf>
    <xf numFmtId="0" fontId="75" fillId="2" borderId="159" xfId="0" applyFont="1" applyFill="1" applyBorder="1">
      <alignment vertical="center"/>
    </xf>
    <xf numFmtId="0" fontId="76" fillId="0" borderId="161" xfId="0" applyFont="1" applyBorder="1">
      <alignment vertical="center"/>
    </xf>
    <xf numFmtId="182" fontId="76" fillId="0" borderId="159" xfId="0" applyNumberFormat="1" applyFont="1" applyBorder="1">
      <alignment vertical="center"/>
    </xf>
    <xf numFmtId="0" fontId="76" fillId="0" borderId="161" xfId="0" applyFont="1" applyBorder="1" applyAlignment="1">
      <alignment horizontal="center" vertical="center"/>
    </xf>
    <xf numFmtId="177" fontId="86" fillId="5" borderId="161" xfId="0" applyNumberFormat="1" applyFont="1" applyFill="1" applyBorder="1" applyAlignment="1">
      <alignment horizontal="right" vertical="center"/>
    </xf>
    <xf numFmtId="177" fontId="86" fillId="81" borderId="161" xfId="0" applyNumberFormat="1" applyFont="1" applyFill="1" applyBorder="1" applyAlignment="1">
      <alignment horizontal="right" vertical="center"/>
    </xf>
    <xf numFmtId="177" fontId="86" fillId="5" borderId="159" xfId="0" applyNumberFormat="1" applyFont="1" applyFill="1" applyBorder="1" applyAlignment="1">
      <alignment horizontal="right" vertical="center"/>
    </xf>
    <xf numFmtId="177" fontId="86" fillId="81" borderId="159" xfId="0" applyNumberFormat="1" applyFont="1" applyFill="1" applyBorder="1" applyAlignment="1">
      <alignment horizontal="right" vertical="center"/>
    </xf>
    <xf numFmtId="178" fontId="86" fillId="5" borderId="161" xfId="0" applyNumberFormat="1" applyFont="1" applyFill="1" applyBorder="1" applyAlignment="1">
      <alignment horizontal="right" vertical="center"/>
    </xf>
    <xf numFmtId="177" fontId="86" fillId="5" borderId="159" xfId="0" applyNumberFormat="1" applyFont="1" applyFill="1" applyBorder="1" applyAlignment="1" applyProtection="1">
      <alignment horizontal="right" vertical="center"/>
      <protection locked="0"/>
    </xf>
    <xf numFmtId="177" fontId="86" fillId="5" borderId="160" xfId="0" applyNumberFormat="1" applyFont="1" applyFill="1" applyBorder="1" applyAlignment="1" applyProtection="1">
      <alignment horizontal="right" vertical="center"/>
      <protection locked="0"/>
    </xf>
    <xf numFmtId="38" fontId="86" fillId="5" borderId="161" xfId="0" applyNumberFormat="1" applyFont="1" applyFill="1" applyBorder="1" applyAlignment="1" applyProtection="1">
      <alignment horizontal="right" vertical="center"/>
      <protection locked="0"/>
    </xf>
    <xf numFmtId="177" fontId="84" fillId="2" borderId="161" xfId="0" applyNumberFormat="1" applyFont="1" applyFill="1" applyBorder="1" applyAlignment="1">
      <alignment horizontal="right" vertical="center"/>
    </xf>
    <xf numFmtId="177" fontId="84" fillId="2" borderId="159" xfId="0" applyNumberFormat="1" applyFont="1" applyFill="1" applyBorder="1" applyAlignment="1">
      <alignment horizontal="right" vertical="center"/>
    </xf>
    <xf numFmtId="177" fontId="84" fillId="2" borderId="160" xfId="0" applyNumberFormat="1" applyFont="1" applyFill="1" applyBorder="1" applyAlignment="1">
      <alignment horizontal="right" vertical="center"/>
    </xf>
    <xf numFmtId="178" fontId="84" fillId="2" borderId="161" xfId="0" applyNumberFormat="1" applyFont="1" applyFill="1" applyBorder="1" applyAlignment="1">
      <alignment horizontal="right" vertical="center"/>
    </xf>
    <xf numFmtId="177" fontId="84" fillId="2" borderId="159" xfId="0" applyNumberFormat="1" applyFont="1" applyFill="1" applyBorder="1" applyAlignment="1" applyProtection="1">
      <alignment horizontal="right" vertical="center"/>
      <protection locked="0"/>
    </xf>
    <xf numFmtId="177" fontId="84" fillId="0" borderId="159" xfId="95" applyNumberFormat="1" applyFont="1" applyFill="1" applyBorder="1" applyAlignment="1" applyProtection="1">
      <alignment horizontal="right" vertical="center"/>
      <protection locked="0"/>
    </xf>
    <xf numFmtId="177" fontId="84" fillId="0" borderId="161" xfId="95" applyNumberFormat="1" applyFont="1" applyFill="1" applyBorder="1" applyAlignment="1" applyProtection="1">
      <alignment horizontal="right" vertical="center"/>
      <protection locked="0"/>
    </xf>
    <xf numFmtId="177" fontId="84" fillId="2" borderId="160" xfId="0" applyNumberFormat="1" applyFont="1" applyFill="1" applyBorder="1" applyAlignment="1" applyProtection="1">
      <alignment horizontal="right" vertical="center"/>
      <protection locked="0"/>
    </xf>
    <xf numFmtId="38" fontId="84" fillId="2" borderId="161" xfId="110" applyFont="1" applyFill="1" applyBorder="1" applyAlignment="1" applyProtection="1">
      <alignment horizontal="right" vertical="center"/>
      <protection locked="0"/>
    </xf>
    <xf numFmtId="38" fontId="86" fillId="81" borderId="161" xfId="0" applyNumberFormat="1" applyFont="1" applyFill="1" applyBorder="1" applyAlignment="1" applyProtection="1">
      <alignment horizontal="right" vertical="center"/>
      <protection locked="0"/>
    </xf>
    <xf numFmtId="177" fontId="86" fillId="2" borderId="161" xfId="0" applyNumberFormat="1" applyFont="1" applyFill="1" applyBorder="1" applyAlignment="1">
      <alignment horizontal="right" vertical="center"/>
    </xf>
    <xf numFmtId="177" fontId="86" fillId="0" borderId="161" xfId="0" applyNumberFormat="1" applyFont="1" applyBorder="1" applyAlignment="1">
      <alignment horizontal="right" vertical="center"/>
    </xf>
    <xf numFmtId="177" fontId="86" fillId="2" borderId="159" xfId="0" applyNumberFormat="1" applyFont="1" applyFill="1" applyBorder="1" applyAlignment="1">
      <alignment horizontal="right" vertical="center"/>
    </xf>
    <xf numFmtId="178" fontId="86" fillId="2" borderId="161" xfId="0" applyNumberFormat="1" applyFont="1" applyFill="1" applyBorder="1" applyAlignment="1">
      <alignment horizontal="right" vertical="center"/>
    </xf>
    <xf numFmtId="177" fontId="86" fillId="2" borderId="160" xfId="0" applyNumberFormat="1" applyFont="1" applyFill="1" applyBorder="1" applyAlignment="1">
      <alignment horizontal="right" vertical="center"/>
    </xf>
    <xf numFmtId="177" fontId="86" fillId="2" borderId="159" xfId="0" applyNumberFormat="1" applyFont="1" applyFill="1" applyBorder="1" applyAlignment="1" applyProtection="1">
      <alignment horizontal="right" vertical="center"/>
      <protection locked="0"/>
    </xf>
    <xf numFmtId="38" fontId="86" fillId="2" borderId="161" xfId="0" applyNumberFormat="1" applyFont="1" applyFill="1" applyBorder="1" applyAlignment="1" applyProtection="1">
      <alignment horizontal="right" vertical="center"/>
      <protection locked="0"/>
    </xf>
    <xf numFmtId="38" fontId="86" fillId="81" borderId="159" xfId="110" applyFont="1" applyFill="1" applyBorder="1" applyAlignment="1" applyProtection="1">
      <alignment horizontal="right" vertical="center"/>
      <protection locked="0"/>
    </xf>
    <xf numFmtId="38" fontId="86" fillId="81" borderId="161" xfId="110" applyFont="1" applyFill="1" applyBorder="1" applyAlignment="1" applyProtection="1">
      <alignment horizontal="right" vertical="center"/>
      <protection locked="0"/>
    </xf>
    <xf numFmtId="177" fontId="86" fillId="80" borderId="161" xfId="0" applyNumberFormat="1" applyFont="1" applyFill="1" applyBorder="1" applyAlignment="1">
      <alignment horizontal="right" vertical="center"/>
    </xf>
    <xf numFmtId="177" fontId="86" fillId="80" borderId="159" xfId="0" applyNumberFormat="1" applyFont="1" applyFill="1" applyBorder="1" applyAlignment="1">
      <alignment horizontal="right" vertical="center"/>
    </xf>
    <xf numFmtId="177" fontId="86" fillId="80" borderId="160" xfId="0" applyNumberFormat="1" applyFont="1" applyFill="1" applyBorder="1" applyAlignment="1">
      <alignment horizontal="right" vertical="center"/>
    </xf>
    <xf numFmtId="177" fontId="86" fillId="80" borderId="160" xfId="0" applyNumberFormat="1" applyFont="1" applyFill="1" applyBorder="1" applyAlignment="1" applyProtection="1">
      <alignment horizontal="right" vertical="center"/>
      <protection locked="0"/>
    </xf>
    <xf numFmtId="38" fontId="86" fillId="80" borderId="161" xfId="0" applyNumberFormat="1" applyFont="1" applyFill="1" applyBorder="1" applyAlignment="1" applyProtection="1">
      <alignment horizontal="right" vertical="center"/>
      <protection locked="0"/>
    </xf>
    <xf numFmtId="178" fontId="86" fillId="80" borderId="160" xfId="0" applyNumberFormat="1" applyFont="1" applyFill="1" applyBorder="1" applyAlignment="1" applyProtection="1">
      <alignment horizontal="right" vertical="center"/>
      <protection locked="0"/>
    </xf>
    <xf numFmtId="191" fontId="86" fillId="81" borderId="159" xfId="0" applyNumberFormat="1" applyFont="1" applyFill="1" applyBorder="1" applyAlignment="1" applyProtection="1">
      <alignment horizontal="right" vertical="center"/>
      <protection locked="0"/>
    </xf>
    <xf numFmtId="177" fontId="86" fillId="0" borderId="161" xfId="0" applyNumberFormat="1" applyFont="1" applyBorder="1" applyAlignment="1">
      <alignment horizontal="right" vertical="center" shrinkToFit="1"/>
    </xf>
    <xf numFmtId="177" fontId="86" fillId="0" borderId="159" xfId="0" applyNumberFormat="1" applyFont="1" applyBorder="1" applyAlignment="1">
      <alignment horizontal="right" vertical="center" shrinkToFit="1"/>
    </xf>
    <xf numFmtId="177" fontId="86" fillId="0" borderId="160" xfId="0" applyNumberFormat="1" applyFont="1" applyBorder="1" applyAlignment="1">
      <alignment horizontal="right" vertical="center" shrinkToFit="1"/>
    </xf>
    <xf numFmtId="177" fontId="86" fillId="0" borderId="159" xfId="0" applyNumberFormat="1" applyFont="1" applyBorder="1" applyAlignment="1" applyProtection="1">
      <alignment horizontal="right" vertical="center" shrinkToFit="1"/>
      <protection locked="0"/>
    </xf>
    <xf numFmtId="38" fontId="86" fillId="0" borderId="161" xfId="0" applyNumberFormat="1" applyFont="1" applyBorder="1" applyAlignment="1" applyProtection="1">
      <alignment horizontal="right" vertical="center" shrinkToFit="1"/>
      <protection locked="0"/>
    </xf>
    <xf numFmtId="38" fontId="86" fillId="2" borderId="159" xfId="110" applyFont="1" applyFill="1" applyBorder="1" applyAlignment="1" applyProtection="1">
      <alignment horizontal="right" vertical="center"/>
      <protection locked="0"/>
    </xf>
    <xf numFmtId="38" fontId="86" fillId="2" borderId="161" xfId="110" applyFont="1" applyFill="1" applyBorder="1" applyAlignment="1" applyProtection="1">
      <alignment horizontal="right" vertical="center"/>
      <protection locked="0"/>
    </xf>
    <xf numFmtId="177" fontId="86" fillId="2" borderId="160" xfId="0" applyNumberFormat="1" applyFont="1" applyFill="1" applyBorder="1" applyAlignment="1" applyProtection="1">
      <alignment horizontal="right" vertical="center"/>
      <protection locked="0"/>
    </xf>
    <xf numFmtId="38" fontId="86" fillId="0" borderId="161" xfId="0" applyNumberFormat="1" applyFont="1" applyBorder="1" applyAlignment="1" applyProtection="1">
      <alignment horizontal="right" vertical="center"/>
      <protection locked="0"/>
    </xf>
    <xf numFmtId="0" fontId="86" fillId="81" borderId="161" xfId="95" applyNumberFormat="1" applyFont="1" applyFill="1" applyBorder="1" applyAlignment="1" applyProtection="1">
      <alignment horizontal="right" vertical="center"/>
      <protection locked="0"/>
    </xf>
    <xf numFmtId="0" fontId="86" fillId="81" borderId="159" xfId="95" applyNumberFormat="1" applyFont="1" applyFill="1" applyBorder="1" applyAlignment="1" applyProtection="1">
      <alignment horizontal="right" vertical="center"/>
      <protection locked="0"/>
    </xf>
    <xf numFmtId="38" fontId="86" fillId="81" borderId="160" xfId="110" applyFont="1" applyFill="1" applyBorder="1" applyAlignment="1" applyProtection="1">
      <alignment horizontal="right" vertical="center"/>
      <protection locked="0"/>
    </xf>
    <xf numFmtId="177" fontId="86" fillId="81" borderId="160" xfId="0" quotePrefix="1" applyNumberFormat="1" applyFont="1" applyFill="1" applyBorder="1" applyAlignment="1">
      <alignment horizontal="right" vertical="center"/>
    </xf>
    <xf numFmtId="177" fontId="86" fillId="81" borderId="161" xfId="0" quotePrefix="1" applyNumberFormat="1" applyFont="1" applyFill="1" applyBorder="1" applyAlignment="1" applyProtection="1">
      <alignment horizontal="right" vertical="center"/>
      <protection locked="0"/>
    </xf>
    <xf numFmtId="177" fontId="86" fillId="81" borderId="159" xfId="0" quotePrefix="1" applyNumberFormat="1" applyFont="1" applyFill="1" applyBorder="1" applyAlignment="1" applyProtection="1">
      <alignment horizontal="right" vertical="center"/>
      <protection locked="0"/>
    </xf>
    <xf numFmtId="177" fontId="86" fillId="81" borderId="160" xfId="0" quotePrefix="1" applyNumberFormat="1" applyFont="1" applyFill="1" applyBorder="1" applyAlignment="1" applyProtection="1">
      <alignment horizontal="right" vertical="center"/>
      <protection locked="0"/>
    </xf>
    <xf numFmtId="0" fontId="86" fillId="2" borderId="161" xfId="95" applyNumberFormat="1" applyFont="1" applyFill="1" applyBorder="1" applyAlignment="1">
      <alignment horizontal="right" vertical="center"/>
    </xf>
    <xf numFmtId="178" fontId="86" fillId="80" borderId="159" xfId="0" applyNumberFormat="1" applyFont="1" applyFill="1" applyBorder="1" applyAlignment="1" applyProtection="1">
      <alignment horizontal="right" vertical="center"/>
      <protection locked="0"/>
    </xf>
    <xf numFmtId="3" fontId="86" fillId="2" borderId="161" xfId="0" applyNumberFormat="1" applyFont="1" applyFill="1" applyBorder="1" applyAlignment="1">
      <alignment horizontal="right" vertical="center"/>
    </xf>
    <xf numFmtId="0" fontId="86" fillId="2" borderId="160" xfId="0" applyFont="1" applyFill="1" applyBorder="1" applyAlignment="1">
      <alignment horizontal="right" vertical="center"/>
    </xf>
    <xf numFmtId="177" fontId="86" fillId="0" borderId="159" xfId="143" applyNumberFormat="1" applyFont="1" applyBorder="1" applyAlignment="1" applyProtection="1">
      <alignment horizontal="right" vertical="center"/>
      <protection locked="0"/>
    </xf>
    <xf numFmtId="177" fontId="86" fillId="0" borderId="161" xfId="143" applyNumberFormat="1" applyFont="1" applyBorder="1" applyAlignment="1" applyProtection="1">
      <alignment horizontal="right" vertical="center"/>
      <protection locked="0"/>
    </xf>
    <xf numFmtId="177" fontId="86" fillId="0" borderId="160" xfId="143" applyNumberFormat="1" applyFont="1" applyBorder="1" applyAlignment="1" applyProtection="1">
      <alignment horizontal="right" vertical="center"/>
      <protection locked="0"/>
    </xf>
    <xf numFmtId="177" fontId="86" fillId="81" borderId="159" xfId="143" applyNumberFormat="1" applyFont="1" applyFill="1" applyBorder="1" applyAlignment="1" applyProtection="1">
      <alignment horizontal="right" vertical="center"/>
      <protection locked="0"/>
    </xf>
    <xf numFmtId="177" fontId="86" fillId="81" borderId="161" xfId="143" applyNumberFormat="1" applyFont="1" applyFill="1" applyBorder="1" applyAlignment="1" applyProtection="1">
      <alignment horizontal="right" vertical="center"/>
      <protection locked="0"/>
    </xf>
    <xf numFmtId="177" fontId="86" fillId="81" borderId="160" xfId="143" applyNumberFormat="1" applyFont="1" applyFill="1" applyBorder="1" applyAlignment="1" applyProtection="1">
      <alignment horizontal="right" vertical="center"/>
      <protection locked="0"/>
    </xf>
    <xf numFmtId="177" fontId="86" fillId="0" borderId="159" xfId="0" applyNumberFormat="1" applyFont="1" applyBorder="1" applyAlignment="1" applyProtection="1">
      <alignment horizontal="right" vertical="center" wrapText="1"/>
      <protection locked="0"/>
    </xf>
    <xf numFmtId="177" fontId="86" fillId="0" borderId="159" xfId="110" applyNumberFormat="1" applyFont="1" applyFill="1" applyBorder="1" applyAlignment="1" applyProtection="1">
      <alignment horizontal="right" vertical="center"/>
      <protection locked="0"/>
    </xf>
    <xf numFmtId="177" fontId="86" fillId="0" borderId="161" xfId="110" applyNumberFormat="1" applyFont="1" applyFill="1" applyBorder="1" applyAlignment="1" applyProtection="1">
      <alignment horizontal="right" vertical="center"/>
      <protection locked="0"/>
    </xf>
    <xf numFmtId="177" fontId="84" fillId="0" borderId="161" xfId="0" applyNumberFormat="1" applyFont="1" applyBorder="1" applyAlignment="1">
      <alignment horizontal="right" vertical="center"/>
    </xf>
    <xf numFmtId="177" fontId="84" fillId="0" borderId="159" xfId="0" applyNumberFormat="1" applyFont="1" applyBorder="1" applyAlignment="1">
      <alignment horizontal="right" vertical="center"/>
    </xf>
    <xf numFmtId="178" fontId="84" fillId="0" borderId="161" xfId="0" applyNumberFormat="1" applyFont="1" applyBorder="1" applyAlignment="1">
      <alignment horizontal="right" vertical="center"/>
    </xf>
    <xf numFmtId="38" fontId="84" fillId="0" borderId="161" xfId="0" applyNumberFormat="1" applyFont="1" applyBorder="1" applyAlignment="1" applyProtection="1">
      <alignment horizontal="right" vertical="center"/>
      <protection locked="0"/>
    </xf>
    <xf numFmtId="177" fontId="86" fillId="81" borderId="161" xfId="95" applyNumberFormat="1" applyFont="1" applyFill="1" applyBorder="1" applyAlignment="1" applyProtection="1">
      <alignment horizontal="right" vertical="center"/>
      <protection locked="0"/>
    </xf>
    <xf numFmtId="177" fontId="76" fillId="5" borderId="161" xfId="0" applyNumberFormat="1" applyFont="1" applyFill="1" applyBorder="1" applyAlignment="1">
      <alignment horizontal="right" vertical="center"/>
    </xf>
    <xf numFmtId="178" fontId="76" fillId="5" borderId="160" xfId="0" applyNumberFormat="1" applyFont="1" applyFill="1" applyBorder="1" applyAlignment="1">
      <alignment horizontal="right" vertical="center"/>
    </xf>
    <xf numFmtId="177" fontId="124" fillId="2" borderId="161" xfId="0" applyNumberFormat="1" applyFont="1" applyFill="1" applyBorder="1" applyAlignment="1">
      <alignment horizontal="right" vertical="center"/>
    </xf>
    <xf numFmtId="177" fontId="124" fillId="0" borderId="161" xfId="0" applyNumberFormat="1" applyFont="1" applyBorder="1" applyAlignment="1">
      <alignment horizontal="right" vertical="center"/>
    </xf>
    <xf numFmtId="177" fontId="124" fillId="2" borderId="159" xfId="0" applyNumberFormat="1" applyFont="1" applyFill="1" applyBorder="1" applyAlignment="1">
      <alignment horizontal="right" vertical="center"/>
    </xf>
    <xf numFmtId="178" fontId="124" fillId="2" borderId="160" xfId="0" applyNumberFormat="1" applyFont="1" applyFill="1" applyBorder="1" applyAlignment="1">
      <alignment horizontal="right" vertical="center"/>
    </xf>
    <xf numFmtId="177" fontId="76" fillId="81" borderId="161" xfId="0" applyNumberFormat="1" applyFont="1" applyFill="1" applyBorder="1" applyAlignment="1">
      <alignment horizontal="right" vertical="center"/>
    </xf>
    <xf numFmtId="177" fontId="76" fillId="81" borderId="159" xfId="0" applyNumberFormat="1" applyFont="1" applyFill="1" applyBorder="1" applyAlignment="1">
      <alignment horizontal="right" vertical="center"/>
    </xf>
    <xf numFmtId="178" fontId="76" fillId="81" borderId="160" xfId="0" applyNumberFormat="1" applyFont="1" applyFill="1" applyBorder="1" applyAlignment="1">
      <alignment horizontal="right" vertical="center"/>
    </xf>
    <xf numFmtId="177" fontId="76" fillId="2" borderId="161" xfId="0" applyNumberFormat="1" applyFont="1" applyFill="1" applyBorder="1" applyAlignment="1">
      <alignment horizontal="right" vertical="center"/>
    </xf>
    <xf numFmtId="177" fontId="76" fillId="2" borderId="159" xfId="0" applyNumberFormat="1" applyFont="1" applyFill="1" applyBorder="1" applyAlignment="1">
      <alignment horizontal="right" vertical="center"/>
    </xf>
    <xf numFmtId="178" fontId="76" fillId="2" borderId="160" xfId="0" applyNumberFormat="1" applyFont="1" applyFill="1" applyBorder="1" applyAlignment="1">
      <alignment horizontal="right" vertical="center"/>
    </xf>
    <xf numFmtId="177" fontId="76" fillId="5" borderId="159" xfId="0" applyNumberFormat="1" applyFont="1" applyFill="1" applyBorder="1" applyAlignment="1">
      <alignment horizontal="right" vertical="center"/>
    </xf>
    <xf numFmtId="177" fontId="76" fillId="0" borderId="161" xfId="0" applyNumberFormat="1" applyFont="1" applyBorder="1" applyAlignment="1">
      <alignment horizontal="right" vertical="center"/>
    </xf>
    <xf numFmtId="177" fontId="76" fillId="0" borderId="159" xfId="0" applyNumberFormat="1" applyFont="1" applyBorder="1" applyAlignment="1">
      <alignment horizontal="right" vertical="center"/>
    </xf>
    <xf numFmtId="178" fontId="76" fillId="0" borderId="160" xfId="0" applyNumberFormat="1" applyFont="1" applyBorder="1" applyAlignment="1">
      <alignment horizontal="right" vertical="center"/>
    </xf>
    <xf numFmtId="177" fontId="76" fillId="5" borderId="161" xfId="0" quotePrefix="1" applyNumberFormat="1" applyFont="1" applyFill="1" applyBorder="1" applyAlignment="1">
      <alignment horizontal="right" vertical="center"/>
    </xf>
    <xf numFmtId="177" fontId="76" fillId="80" borderId="161" xfId="0" applyNumberFormat="1" applyFont="1" applyFill="1" applyBorder="1" applyAlignment="1">
      <alignment horizontal="right" vertical="center"/>
    </xf>
    <xf numFmtId="177" fontId="76" fillId="5" borderId="163" xfId="0" applyNumberFormat="1" applyFont="1" applyFill="1" applyBorder="1" applyAlignment="1">
      <alignment horizontal="right" vertical="center" wrapText="1"/>
    </xf>
    <xf numFmtId="178" fontId="76" fillId="5" borderId="164" xfId="0" applyNumberFormat="1" applyFont="1" applyFill="1" applyBorder="1" applyAlignment="1">
      <alignment horizontal="right" vertical="center" wrapText="1"/>
    </xf>
    <xf numFmtId="177" fontId="76" fillId="0" borderId="163" xfId="0" applyNumberFormat="1" applyFont="1" applyBorder="1" applyAlignment="1">
      <alignment horizontal="right" vertical="center" wrapText="1"/>
    </xf>
    <xf numFmtId="177" fontId="124" fillId="0" borderId="165" xfId="0" applyNumberFormat="1" applyFont="1" applyBorder="1" applyAlignment="1">
      <alignment horizontal="right" vertical="center"/>
    </xf>
    <xf numFmtId="178" fontId="124" fillId="0" borderId="166" xfId="0" applyNumberFormat="1" applyFont="1" applyBorder="1" applyAlignment="1">
      <alignment horizontal="right" vertical="center"/>
    </xf>
    <xf numFmtId="0" fontId="77" fillId="0" borderId="165" xfId="136" applyFont="1" applyBorder="1" applyAlignment="1">
      <alignment horizontal="center" vertical="center" wrapText="1" shrinkToFit="1"/>
    </xf>
    <xf numFmtId="177" fontId="84" fillId="2" borderId="165" xfId="0" applyNumberFormat="1" applyFont="1" applyFill="1" applyBorder="1" applyAlignment="1">
      <alignment horizontal="right" vertical="center"/>
    </xf>
    <xf numFmtId="178" fontId="84" fillId="2" borderId="165" xfId="136" applyNumberFormat="1" applyFont="1" applyFill="1" applyBorder="1" applyAlignment="1">
      <alignment horizontal="right" vertical="center"/>
    </xf>
    <xf numFmtId="177" fontId="84" fillId="2" borderId="166" xfId="0" applyNumberFormat="1" applyFont="1" applyFill="1" applyBorder="1" applyAlignment="1">
      <alignment horizontal="right" vertical="center"/>
    </xf>
    <xf numFmtId="177" fontId="84" fillId="0" borderId="166" xfId="0" applyNumberFormat="1" applyFont="1" applyBorder="1" applyAlignment="1">
      <alignment horizontal="right" vertical="center"/>
    </xf>
    <xf numFmtId="177" fontId="86" fillId="81" borderId="165" xfId="136" applyNumberFormat="1" applyFont="1" applyFill="1" applyBorder="1" applyAlignment="1">
      <alignment horizontal="right" vertical="center"/>
    </xf>
    <xf numFmtId="178" fontId="86" fillId="81" borderId="165" xfId="136" applyNumberFormat="1" applyFont="1" applyFill="1" applyBorder="1" applyAlignment="1">
      <alignment horizontal="right" vertical="center"/>
    </xf>
    <xf numFmtId="177" fontId="86" fillId="81" borderId="166" xfId="136" applyNumberFormat="1" applyFont="1" applyFill="1" applyBorder="1" applyAlignment="1">
      <alignment horizontal="right" vertical="center"/>
    </xf>
    <xf numFmtId="177" fontId="86" fillId="2" borderId="165" xfId="136" applyNumberFormat="1" applyFont="1" applyFill="1" applyBorder="1" applyAlignment="1">
      <alignment horizontal="right" vertical="center"/>
    </xf>
    <xf numFmtId="178" fontId="86" fillId="2" borderId="165" xfId="136" applyNumberFormat="1" applyFont="1" applyFill="1" applyBorder="1" applyAlignment="1">
      <alignment horizontal="right" vertical="center"/>
    </xf>
    <xf numFmtId="177" fontId="86" fillId="2" borderId="166" xfId="136" applyNumberFormat="1" applyFont="1" applyFill="1" applyBorder="1" applyAlignment="1">
      <alignment horizontal="right" vertical="center"/>
    </xf>
    <xf numFmtId="177" fontId="86" fillId="0" borderId="166" xfId="136" applyNumberFormat="1" applyFont="1" applyBorder="1" applyAlignment="1">
      <alignment horizontal="right" vertical="center"/>
    </xf>
    <xf numFmtId="177" fontId="86" fillId="5" borderId="165" xfId="0" applyNumberFormat="1" applyFont="1" applyFill="1" applyBorder="1" applyAlignment="1">
      <alignment horizontal="right" vertical="center"/>
    </xf>
    <xf numFmtId="177" fontId="86" fillId="5" borderId="165" xfId="136" applyNumberFormat="1" applyFont="1" applyFill="1" applyBorder="1" applyAlignment="1">
      <alignment horizontal="right" vertical="center"/>
    </xf>
    <xf numFmtId="178" fontId="86" fillId="5" borderId="165" xfId="136" applyNumberFormat="1" applyFont="1" applyFill="1" applyBorder="1" applyAlignment="1">
      <alignment horizontal="right" vertical="center"/>
    </xf>
    <xf numFmtId="177" fontId="86" fillId="5" borderId="166" xfId="136" applyNumberFormat="1" applyFont="1" applyFill="1" applyBorder="1" applyAlignment="1">
      <alignment horizontal="right" vertical="center"/>
    </xf>
    <xf numFmtId="177" fontId="86" fillId="81" borderId="166" xfId="0" applyNumberFormat="1" applyFont="1" applyFill="1" applyBorder="1" applyAlignment="1" applyProtection="1">
      <alignment horizontal="right" vertical="center"/>
      <protection locked="0"/>
    </xf>
    <xf numFmtId="177" fontId="86" fillId="80" borderId="165" xfId="0" applyNumberFormat="1" applyFont="1" applyFill="1" applyBorder="1" applyAlignment="1">
      <alignment horizontal="right" vertical="center"/>
    </xf>
    <xf numFmtId="177" fontId="86" fillId="80" borderId="165" xfId="136" applyNumberFormat="1" applyFont="1" applyFill="1" applyBorder="1" applyAlignment="1">
      <alignment horizontal="right" vertical="center"/>
    </xf>
    <xf numFmtId="178" fontId="86" fillId="80" borderId="165" xfId="136" applyNumberFormat="1" applyFont="1" applyFill="1" applyBorder="1" applyAlignment="1">
      <alignment horizontal="right" vertical="center"/>
    </xf>
    <xf numFmtId="177" fontId="86" fillId="80" borderId="166" xfId="136" applyNumberFormat="1" applyFont="1" applyFill="1" applyBorder="1" applyAlignment="1">
      <alignment horizontal="right" vertical="center"/>
    </xf>
    <xf numFmtId="177" fontId="86" fillId="0" borderId="166" xfId="0" applyNumberFormat="1" applyFont="1" applyBorder="1" applyAlignment="1" applyProtection="1">
      <alignment horizontal="right" vertical="center"/>
      <protection locked="0"/>
    </xf>
    <xf numFmtId="177" fontId="86" fillId="81" borderId="165" xfId="0" applyNumberFormat="1" applyFont="1" applyFill="1" applyBorder="1" applyAlignment="1">
      <alignment horizontal="right" vertical="center"/>
    </xf>
    <xf numFmtId="177" fontId="86" fillId="0" borderId="165" xfId="136" applyNumberFormat="1" applyFont="1" applyBorder="1">
      <alignment vertical="center"/>
    </xf>
    <xf numFmtId="177" fontId="86" fillId="0" borderId="166" xfId="136" applyNumberFormat="1" applyFont="1" applyBorder="1" applyAlignment="1">
      <alignment horizontal="right" vertical="center" shrinkToFit="1"/>
    </xf>
    <xf numFmtId="177" fontId="86" fillId="0" borderId="165" xfId="0" applyNumberFormat="1" applyFont="1" applyBorder="1" applyAlignment="1">
      <alignment horizontal="right" vertical="center"/>
    </xf>
    <xf numFmtId="177" fontId="86" fillId="0" borderId="165" xfId="136" applyNumberFormat="1" applyFont="1" applyBorder="1" applyAlignment="1">
      <alignment horizontal="right" vertical="center"/>
    </xf>
    <xf numFmtId="178" fontId="86" fillId="0" borderId="165" xfId="136" applyNumberFormat="1" applyFont="1" applyBorder="1" applyAlignment="1">
      <alignment horizontal="right" vertical="center"/>
    </xf>
    <xf numFmtId="178" fontId="86" fillId="81" borderId="165" xfId="110" applyNumberFormat="1" applyFont="1" applyFill="1" applyBorder="1" applyAlignment="1">
      <alignment horizontal="right" vertical="center"/>
    </xf>
    <xf numFmtId="177" fontId="86" fillId="5" borderId="162" xfId="0" applyNumberFormat="1" applyFont="1" applyFill="1" applyBorder="1" applyAlignment="1">
      <alignment horizontal="right" vertical="center" wrapText="1"/>
    </xf>
    <xf numFmtId="177" fontId="86" fillId="5" borderId="163" xfId="0" applyNumberFormat="1" applyFont="1" applyFill="1" applyBorder="1" applyAlignment="1">
      <alignment horizontal="right" vertical="center" wrapText="1"/>
    </xf>
    <xf numFmtId="178" fontId="86" fillId="81" borderId="163" xfId="0" applyNumberFormat="1" applyFont="1" applyFill="1" applyBorder="1" applyAlignment="1">
      <alignment horizontal="right" vertical="center" wrapText="1"/>
    </xf>
    <xf numFmtId="177" fontId="86" fillId="81" borderId="163" xfId="0" applyNumberFormat="1" applyFont="1" applyFill="1" applyBorder="1" applyAlignment="1">
      <alignment horizontal="right" vertical="center" wrapText="1"/>
    </xf>
    <xf numFmtId="177" fontId="86" fillId="81" borderId="164" xfId="0" applyNumberFormat="1" applyFont="1" applyFill="1" applyBorder="1" applyAlignment="1">
      <alignment horizontal="right" vertical="center" wrapText="1"/>
    </xf>
    <xf numFmtId="177" fontId="86" fillId="81" borderId="161" xfId="136" applyNumberFormat="1" applyFont="1" applyFill="1" applyBorder="1" applyAlignment="1">
      <alignment horizontal="right" vertical="center"/>
    </xf>
    <xf numFmtId="178" fontId="86" fillId="0" borderId="161" xfId="136" applyNumberFormat="1" applyFont="1" applyBorder="1" applyAlignment="1">
      <alignment horizontal="right" vertical="center"/>
    </xf>
    <xf numFmtId="179" fontId="86" fillId="0" borderId="161" xfId="136" applyNumberFormat="1" applyFont="1" applyBorder="1" applyAlignment="1">
      <alignment horizontal="right" vertical="center"/>
    </xf>
    <xf numFmtId="177" fontId="86" fillId="0" borderId="159" xfId="136" applyNumberFormat="1" applyFont="1" applyBorder="1" applyAlignment="1">
      <alignment horizontal="right" vertical="center"/>
    </xf>
    <xf numFmtId="177" fontId="86" fillId="0" borderId="160" xfId="136" applyNumberFormat="1" applyFont="1" applyBorder="1" applyAlignment="1">
      <alignment horizontal="right" vertical="center"/>
    </xf>
    <xf numFmtId="177" fontId="86" fillId="5" borderId="161" xfId="136" applyNumberFormat="1" applyFont="1" applyFill="1" applyBorder="1" applyAlignment="1">
      <alignment horizontal="right" vertical="center"/>
    </xf>
    <xf numFmtId="178" fontId="86" fillId="5" borderId="161" xfId="136" applyNumberFormat="1" applyFont="1" applyFill="1" applyBorder="1" applyAlignment="1">
      <alignment horizontal="right" vertical="center"/>
    </xf>
    <xf numFmtId="177" fontId="84" fillId="0" borderId="161" xfId="261" applyNumberFormat="1" applyFont="1" applyBorder="1" applyAlignment="1">
      <alignment horizontal="right" vertical="center"/>
    </xf>
    <xf numFmtId="178" fontId="84" fillId="0" borderId="161" xfId="298" applyNumberFormat="1" applyFont="1" applyFill="1" applyBorder="1" applyAlignment="1">
      <alignment horizontal="right" vertical="center"/>
    </xf>
    <xf numFmtId="177" fontId="84" fillId="0" borderId="159" xfId="261" applyNumberFormat="1" applyFont="1" applyBorder="1" applyAlignment="1">
      <alignment horizontal="right" vertical="center"/>
    </xf>
    <xf numFmtId="178" fontId="84" fillId="0" borderId="159" xfId="298" applyNumberFormat="1" applyFont="1" applyFill="1" applyBorder="1" applyAlignment="1">
      <alignment horizontal="right" vertical="center"/>
    </xf>
    <xf numFmtId="179" fontId="84" fillId="0" borderId="161" xfId="136" applyNumberFormat="1" applyFont="1" applyBorder="1" applyAlignment="1">
      <alignment horizontal="right" vertical="center"/>
    </xf>
    <xf numFmtId="178" fontId="86" fillId="81" borderId="161" xfId="136" applyNumberFormat="1" applyFont="1" applyFill="1" applyBorder="1" applyAlignment="1">
      <alignment horizontal="right" vertical="center"/>
    </xf>
    <xf numFmtId="178" fontId="86" fillId="0" borderId="159" xfId="136" applyNumberFormat="1" applyFont="1" applyBorder="1">
      <alignment vertical="center"/>
    </xf>
    <xf numFmtId="177" fontId="86" fillId="0" borderId="160" xfId="136" applyNumberFormat="1" applyFont="1" applyBorder="1">
      <alignment vertical="center"/>
    </xf>
    <xf numFmtId="178" fontId="86" fillId="5" borderId="160" xfId="0" applyNumberFormat="1" applyFont="1" applyFill="1" applyBorder="1" applyAlignment="1">
      <alignment horizontal="right" vertical="center"/>
    </xf>
    <xf numFmtId="178" fontId="11" fillId="5" borderId="160" xfId="0" applyNumberFormat="1" applyFont="1" applyFill="1" applyBorder="1" applyAlignment="1">
      <alignment horizontal="right" vertical="center"/>
    </xf>
    <xf numFmtId="178" fontId="11" fillId="5" borderId="159" xfId="0" applyNumberFormat="1" applyFont="1" applyFill="1" applyBorder="1" applyAlignment="1">
      <alignment horizontal="right" vertical="center"/>
    </xf>
    <xf numFmtId="178" fontId="84" fillId="2" borderId="160" xfId="0" applyNumberFormat="1" applyFont="1" applyFill="1" applyBorder="1" applyAlignment="1">
      <alignment horizontal="right" vertical="center"/>
    </xf>
    <xf numFmtId="178" fontId="83" fillId="2" borderId="160" xfId="0" applyNumberFormat="1" applyFont="1" applyFill="1" applyBorder="1" applyAlignment="1">
      <alignment horizontal="right" vertical="center"/>
    </xf>
    <xf numFmtId="178" fontId="83" fillId="2" borderId="159" xfId="136" applyNumberFormat="1" applyFont="1" applyFill="1" applyBorder="1" applyAlignment="1">
      <alignment horizontal="right" vertical="center"/>
    </xf>
    <xf numFmtId="178" fontId="86" fillId="81" borderId="160" xfId="0" applyNumberFormat="1" applyFont="1" applyFill="1" applyBorder="1" applyAlignment="1">
      <alignment horizontal="right" vertical="center"/>
    </xf>
    <xf numFmtId="178" fontId="11" fillId="81" borderId="160" xfId="0" applyNumberFormat="1" applyFont="1" applyFill="1" applyBorder="1" applyAlignment="1">
      <alignment horizontal="right" vertical="center"/>
    </xf>
    <xf numFmtId="178" fontId="11" fillId="81" borderId="159" xfId="0" applyNumberFormat="1" applyFont="1" applyFill="1" applyBorder="1" applyAlignment="1">
      <alignment horizontal="right" vertical="center"/>
    </xf>
    <xf numFmtId="178" fontId="86" fillId="0" borderId="160" xfId="0" applyNumberFormat="1" applyFont="1" applyBorder="1" applyAlignment="1">
      <alignment horizontal="right" vertical="center"/>
    </xf>
    <xf numFmtId="178" fontId="11" fillId="0" borderId="160" xfId="0" applyNumberFormat="1" applyFont="1" applyBorder="1" applyAlignment="1">
      <alignment horizontal="right" vertical="center"/>
    </xf>
    <xf numFmtId="178" fontId="11" fillId="0" borderId="159" xfId="0" applyNumberFormat="1" applyFont="1" applyBorder="1" applyAlignment="1">
      <alignment horizontal="right" vertical="center"/>
    </xf>
    <xf numFmtId="178" fontId="11" fillId="80" borderId="160" xfId="0" applyNumberFormat="1" applyFont="1" applyFill="1" applyBorder="1" applyAlignment="1">
      <alignment horizontal="right" vertical="center"/>
    </xf>
    <xf numFmtId="178" fontId="11" fillId="80" borderId="159" xfId="0" applyNumberFormat="1" applyFont="1" applyFill="1" applyBorder="1" applyAlignment="1">
      <alignment horizontal="right" vertical="center"/>
    </xf>
    <xf numFmtId="178" fontId="86" fillId="0" borderId="160" xfId="0" applyNumberFormat="1" applyFont="1" applyBorder="1" applyAlignment="1">
      <alignment horizontal="right" vertical="center" shrinkToFit="1"/>
    </xf>
    <xf numFmtId="178" fontId="86" fillId="0" borderId="160" xfId="0" applyNumberFormat="1" applyFont="1" applyBorder="1">
      <alignment vertical="center"/>
    </xf>
    <xf numFmtId="178" fontId="86" fillId="0" borderId="159" xfId="0" applyNumberFormat="1" applyFont="1" applyBorder="1" applyAlignment="1">
      <alignment horizontal="right" vertical="center" shrinkToFit="1"/>
    </xf>
    <xf numFmtId="178" fontId="86" fillId="2" borderId="160" xfId="0" applyNumberFormat="1" applyFont="1" applyFill="1" applyBorder="1" applyAlignment="1">
      <alignment horizontal="right" vertical="center"/>
    </xf>
    <xf numFmtId="178" fontId="11" fillId="2" borderId="160" xfId="0" applyNumberFormat="1" applyFont="1" applyFill="1" applyBorder="1" applyAlignment="1">
      <alignment horizontal="right" vertical="center"/>
    </xf>
    <xf numFmtId="178" fontId="11" fillId="2" borderId="159" xfId="0" applyNumberFormat="1" applyFont="1" applyFill="1" applyBorder="1" applyAlignment="1">
      <alignment horizontal="right" vertical="center"/>
    </xf>
    <xf numFmtId="178" fontId="86" fillId="80" borderId="160" xfId="0" applyNumberFormat="1" applyFont="1" applyFill="1" applyBorder="1" applyAlignment="1">
      <alignment horizontal="right" vertical="center"/>
    </xf>
    <xf numFmtId="178" fontId="6" fillId="2" borderId="159" xfId="0" applyNumberFormat="1" applyFont="1" applyFill="1" applyBorder="1" applyAlignment="1">
      <alignment horizontal="center" vertical="center"/>
    </xf>
    <xf numFmtId="178" fontId="6" fillId="2" borderId="160" xfId="0" applyNumberFormat="1" applyFont="1" applyFill="1" applyBorder="1" applyAlignment="1">
      <alignment horizontal="center" vertical="center"/>
    </xf>
    <xf numFmtId="177" fontId="86" fillId="81" borderId="160" xfId="0" applyNumberFormat="1" applyFont="1" applyFill="1" applyBorder="1" applyAlignment="1" applyProtection="1">
      <alignment horizontal="right" vertical="center" shrinkToFit="1"/>
      <protection locked="0"/>
    </xf>
    <xf numFmtId="177" fontId="86" fillId="5" borderId="160" xfId="0" applyNumberFormat="1" applyFont="1" applyFill="1" applyBorder="1" applyAlignment="1">
      <alignment horizontal="right" vertical="center" wrapText="1"/>
    </xf>
    <xf numFmtId="178" fontId="11" fillId="5" borderId="160" xfId="0" applyNumberFormat="1" applyFont="1" applyFill="1" applyBorder="1" applyAlignment="1">
      <alignment horizontal="right" vertical="center" wrapText="1"/>
    </xf>
    <xf numFmtId="178" fontId="11" fillId="0" borderId="160" xfId="0" applyNumberFormat="1" applyFont="1" applyBorder="1" applyAlignment="1">
      <alignment horizontal="right" vertical="center" shrinkToFit="1"/>
    </xf>
    <xf numFmtId="178" fontId="11" fillId="0" borderId="159" xfId="0" applyNumberFormat="1" applyFont="1" applyBorder="1" applyAlignment="1">
      <alignment horizontal="right" vertical="center" shrinkToFit="1"/>
    </xf>
    <xf numFmtId="178" fontId="11" fillId="2" borderId="159" xfId="0" applyNumberFormat="1" applyFont="1" applyFill="1" applyBorder="1" applyAlignment="1">
      <alignment horizontal="right" vertical="center" shrinkToFit="1"/>
    </xf>
    <xf numFmtId="178" fontId="11" fillId="2" borderId="160" xfId="0" applyNumberFormat="1" applyFont="1" applyFill="1" applyBorder="1" applyAlignment="1">
      <alignment horizontal="right" vertical="center" shrinkToFit="1"/>
    </xf>
    <xf numFmtId="177" fontId="11" fillId="5" borderId="159" xfId="0" applyNumberFormat="1" applyFont="1" applyFill="1" applyBorder="1" applyAlignment="1">
      <alignment horizontal="right" vertical="center" shrinkToFit="1"/>
    </xf>
    <xf numFmtId="178" fontId="11" fillId="5" borderId="160" xfId="0" applyNumberFormat="1" applyFont="1" applyFill="1" applyBorder="1" applyAlignment="1">
      <alignment horizontal="right" vertical="center" shrinkToFit="1"/>
    </xf>
    <xf numFmtId="178" fontId="11" fillId="5" borderId="159" xfId="0" applyNumberFormat="1" applyFont="1" applyFill="1" applyBorder="1" applyAlignment="1">
      <alignment horizontal="right" vertical="center" shrinkToFit="1"/>
    </xf>
    <xf numFmtId="178" fontId="84" fillId="0" borderId="160" xfId="0" applyNumberFormat="1" applyFont="1" applyBorder="1" applyAlignment="1">
      <alignment horizontal="right" vertical="center"/>
    </xf>
    <xf numFmtId="178" fontId="83" fillId="0" borderId="160" xfId="0" applyNumberFormat="1" applyFont="1" applyBorder="1" applyAlignment="1">
      <alignment horizontal="right" vertical="center"/>
    </xf>
    <xf numFmtId="178" fontId="83" fillId="0" borderId="159" xfId="136" applyNumberFormat="1" applyFont="1" applyBorder="1" applyAlignment="1">
      <alignment horizontal="right" vertical="center"/>
    </xf>
    <xf numFmtId="177" fontId="11" fillId="5" borderId="160" xfId="0" applyNumberFormat="1" applyFont="1" applyFill="1" applyBorder="1" applyAlignment="1">
      <alignment horizontal="right" vertical="center"/>
    </xf>
    <xf numFmtId="177" fontId="11" fillId="5" borderId="159" xfId="0" applyNumberFormat="1" applyFont="1" applyFill="1" applyBorder="1" applyAlignment="1">
      <alignment horizontal="right" vertical="center"/>
    </xf>
    <xf numFmtId="184" fontId="86" fillId="5" borderId="159" xfId="0" applyNumberFormat="1" applyFont="1" applyFill="1" applyBorder="1" applyAlignment="1">
      <alignment horizontal="right" vertical="center"/>
    </xf>
    <xf numFmtId="177" fontId="83" fillId="2" borderId="159" xfId="0" applyNumberFormat="1" applyFont="1" applyFill="1" applyBorder="1" applyAlignment="1">
      <alignment horizontal="right" vertical="center"/>
    </xf>
    <xf numFmtId="177" fontId="83" fillId="2" borderId="160" xfId="0" applyNumberFormat="1" applyFont="1" applyFill="1" applyBorder="1" applyAlignment="1">
      <alignment horizontal="right" vertical="center"/>
    </xf>
    <xf numFmtId="177" fontId="83" fillId="0" borderId="159" xfId="0" applyNumberFormat="1" applyFont="1" applyBorder="1" applyAlignment="1">
      <alignment horizontal="right" vertical="center"/>
    </xf>
    <xf numFmtId="184" fontId="84" fillId="2" borderId="159" xfId="0" applyNumberFormat="1" applyFont="1" applyFill="1" applyBorder="1" applyAlignment="1">
      <alignment horizontal="right" vertical="center"/>
    </xf>
    <xf numFmtId="184" fontId="84" fillId="0" borderId="159" xfId="0" applyNumberFormat="1" applyFont="1" applyBorder="1" applyAlignment="1">
      <alignment horizontal="right" vertical="center"/>
    </xf>
    <xf numFmtId="177" fontId="11" fillId="81" borderId="159" xfId="0" applyNumberFormat="1" applyFont="1" applyFill="1" applyBorder="1" applyAlignment="1">
      <alignment horizontal="right" vertical="center"/>
    </xf>
    <xf numFmtId="177" fontId="11" fillId="81" borderId="160" xfId="0" applyNumberFormat="1" applyFont="1" applyFill="1" applyBorder="1" applyAlignment="1">
      <alignment horizontal="right" vertical="center"/>
    </xf>
    <xf numFmtId="184" fontId="86" fillId="81" borderId="159" xfId="0" applyNumberFormat="1" applyFont="1" applyFill="1" applyBorder="1" applyAlignment="1">
      <alignment horizontal="right" vertical="center"/>
    </xf>
    <xf numFmtId="177" fontId="11" fillId="2" borderId="159" xfId="0" applyNumberFormat="1" applyFont="1" applyFill="1" applyBorder="1" applyAlignment="1">
      <alignment horizontal="right" vertical="center"/>
    </xf>
    <xf numFmtId="177" fontId="11" fillId="2" borderId="160" xfId="0" applyNumberFormat="1" applyFont="1" applyFill="1" applyBorder="1" applyAlignment="1">
      <alignment horizontal="right" vertical="center"/>
    </xf>
    <xf numFmtId="177" fontId="11" fillId="0" borderId="160" xfId="0" applyNumberFormat="1" applyFont="1" applyBorder="1" applyAlignment="1">
      <alignment horizontal="right" vertical="center"/>
    </xf>
    <xf numFmtId="177" fontId="11" fillId="0" borderId="159" xfId="0" applyNumberFormat="1" applyFont="1" applyBorder="1" applyAlignment="1">
      <alignment horizontal="right" vertical="center"/>
    </xf>
    <xf numFmtId="184" fontId="86" fillId="0" borderId="159" xfId="0" applyNumberFormat="1" applyFont="1" applyBorder="1" applyAlignment="1">
      <alignment horizontal="right" vertical="center"/>
    </xf>
    <xf numFmtId="177" fontId="11" fillId="80" borderId="159" xfId="0" applyNumberFormat="1" applyFont="1" applyFill="1" applyBorder="1" applyAlignment="1">
      <alignment horizontal="right" vertical="center"/>
    </xf>
    <xf numFmtId="177" fontId="11" fillId="80" borderId="160" xfId="0" applyNumberFormat="1" applyFont="1" applyFill="1" applyBorder="1" applyAlignment="1">
      <alignment horizontal="right" vertical="center"/>
    </xf>
    <xf numFmtId="184" fontId="86" fillId="0" borderId="159" xfId="0" applyNumberFormat="1" applyFont="1" applyBorder="1" applyAlignment="1">
      <alignment horizontal="right" vertical="center" shrinkToFit="1"/>
    </xf>
    <xf numFmtId="38" fontId="11" fillId="0" borderId="160" xfId="110" applyFont="1" applyFill="1" applyBorder="1" applyAlignment="1">
      <alignment vertical="center" justifyLastLine="1"/>
    </xf>
    <xf numFmtId="177" fontId="11" fillId="5" borderId="159" xfId="136" applyNumberFormat="1" applyFont="1" applyFill="1" applyBorder="1" applyAlignment="1">
      <alignment horizontal="right" vertical="center"/>
    </xf>
    <xf numFmtId="184" fontId="86" fillId="2" borderId="159" xfId="0" applyNumberFormat="1" applyFont="1" applyFill="1" applyBorder="1" applyAlignment="1">
      <alignment horizontal="right" vertical="center"/>
    </xf>
    <xf numFmtId="184" fontId="11" fillId="5" borderId="159" xfId="0" applyNumberFormat="1" applyFont="1" applyFill="1" applyBorder="1" applyAlignment="1">
      <alignment horizontal="right" vertical="center"/>
    </xf>
    <xf numFmtId="184" fontId="11" fillId="5" borderId="160" xfId="0" applyNumberFormat="1" applyFont="1" applyFill="1" applyBorder="1" applyAlignment="1">
      <alignment horizontal="right" vertical="center"/>
    </xf>
    <xf numFmtId="177" fontId="11" fillId="5" borderId="159" xfId="0" quotePrefix="1" applyNumberFormat="1" applyFont="1" applyFill="1" applyBorder="1" applyAlignment="1">
      <alignment horizontal="right" vertical="center"/>
    </xf>
    <xf numFmtId="177" fontId="86" fillId="5" borderId="159" xfId="0" quotePrefix="1" applyNumberFormat="1" applyFont="1" applyFill="1" applyBorder="1" applyAlignment="1">
      <alignment horizontal="right" vertical="center"/>
    </xf>
    <xf numFmtId="0" fontId="86" fillId="81" borderId="159" xfId="0" applyFont="1" applyFill="1" applyBorder="1" applyAlignment="1">
      <alignment horizontal="right" vertical="center"/>
    </xf>
    <xf numFmtId="0" fontId="86" fillId="0" borderId="159" xfId="0" applyFont="1" applyBorder="1" applyAlignment="1">
      <alignment horizontal="right" vertical="center"/>
    </xf>
    <xf numFmtId="38" fontId="11" fillId="5" borderId="160" xfId="110" applyFont="1" applyFill="1" applyBorder="1" applyAlignment="1">
      <alignment vertical="center" justifyLastLine="1"/>
    </xf>
    <xf numFmtId="177" fontId="83" fillId="0" borderId="160" xfId="0" applyNumberFormat="1" applyFont="1" applyBorder="1" applyAlignment="1">
      <alignment horizontal="right" vertical="center"/>
    </xf>
    <xf numFmtId="0" fontId="84" fillId="0" borderId="159" xfId="0" applyFont="1" applyBorder="1" applyAlignment="1">
      <alignment horizontal="right" vertical="center"/>
    </xf>
    <xf numFmtId="38" fontId="11" fillId="2" borderId="160" xfId="110" applyFont="1" applyFill="1" applyBorder="1" applyAlignment="1">
      <alignment horizontal="right" vertical="center"/>
    </xf>
    <xf numFmtId="38" fontId="83" fillId="2" borderId="160" xfId="110" applyFont="1" applyFill="1" applyBorder="1" applyAlignment="1">
      <alignment horizontal="right" vertical="center"/>
    </xf>
    <xf numFmtId="179" fontId="11" fillId="2" borderId="160" xfId="136" applyNumberFormat="1" applyFont="1" applyFill="1" applyBorder="1" applyAlignment="1">
      <alignment horizontal="right" vertical="center"/>
    </xf>
    <xf numFmtId="177" fontId="83" fillId="2" borderId="160" xfId="0" applyNumberFormat="1" applyFont="1" applyFill="1" applyBorder="1" applyAlignment="1">
      <alignment horizontal="center" vertical="center"/>
    </xf>
    <xf numFmtId="178" fontId="83" fillId="80" borderId="160" xfId="0" applyNumberFormat="1" applyFont="1" applyFill="1" applyBorder="1" applyAlignment="1">
      <alignment horizontal="right" vertical="center"/>
    </xf>
    <xf numFmtId="177" fontId="11" fillId="81" borderId="160" xfId="0" applyNumberFormat="1" applyFont="1" applyFill="1" applyBorder="1" applyAlignment="1">
      <alignment horizontal="center" vertical="center"/>
    </xf>
    <xf numFmtId="177" fontId="11" fillId="2" borderId="160" xfId="0" applyNumberFormat="1" applyFont="1" applyFill="1" applyBorder="1" applyAlignment="1">
      <alignment horizontal="center" vertical="center"/>
    </xf>
    <xf numFmtId="177" fontId="86" fillId="0" borderId="160" xfId="0" applyNumberFormat="1" applyFont="1" applyBorder="1" applyAlignment="1">
      <alignment horizontal="center" vertical="center"/>
    </xf>
    <xf numFmtId="177" fontId="86" fillId="81" borderId="160" xfId="0" applyNumberFormat="1" applyFont="1" applyFill="1" applyBorder="1" applyAlignment="1">
      <alignment horizontal="center" vertical="center"/>
    </xf>
    <xf numFmtId="177" fontId="11" fillId="0" borderId="160" xfId="0" applyNumberFormat="1" applyFont="1" applyBorder="1" applyAlignment="1">
      <alignment horizontal="center" vertical="center"/>
    </xf>
    <xf numFmtId="177" fontId="11" fillId="5" borderId="160" xfId="0" applyNumberFormat="1" applyFont="1" applyFill="1" applyBorder="1" applyAlignment="1">
      <alignment horizontal="center" vertical="center"/>
    </xf>
    <xf numFmtId="180" fontId="11" fillId="0" borderId="160" xfId="0" applyNumberFormat="1" applyFont="1" applyBorder="1" applyAlignment="1">
      <alignment horizontal="right" vertical="center"/>
    </xf>
    <xf numFmtId="177" fontId="83" fillId="0" borderId="160" xfId="0" applyNumberFormat="1" applyFont="1" applyBorder="1" applyAlignment="1">
      <alignment horizontal="center" vertical="center"/>
    </xf>
    <xf numFmtId="0" fontId="9" fillId="0" borderId="159" xfId="0" applyFont="1" applyBorder="1">
      <alignment vertical="center"/>
    </xf>
    <xf numFmtId="178" fontId="83" fillId="2" borderId="160" xfId="0" applyNumberFormat="1" applyFont="1" applyFill="1" applyBorder="1" applyAlignment="1" applyProtection="1">
      <alignment horizontal="right" vertical="center"/>
      <protection locked="0"/>
    </xf>
    <xf numFmtId="178" fontId="83" fillId="2" borderId="160" xfId="0" applyNumberFormat="1" applyFont="1" applyFill="1" applyBorder="1" applyAlignment="1">
      <alignment horizontal="right" vertical="center" shrinkToFit="1"/>
    </xf>
    <xf numFmtId="178" fontId="11" fillId="81" borderId="160" xfId="0" applyNumberFormat="1" applyFont="1" applyFill="1" applyBorder="1" applyAlignment="1" applyProtection="1">
      <alignment horizontal="right" vertical="center"/>
      <protection locked="0"/>
    </xf>
    <xf numFmtId="178" fontId="11" fillId="81" borderId="160" xfId="0" applyNumberFormat="1" applyFont="1" applyFill="1" applyBorder="1" applyAlignment="1">
      <alignment horizontal="right" vertical="center" shrinkToFit="1"/>
    </xf>
    <xf numFmtId="178" fontId="11" fillId="2" borderId="160" xfId="0" applyNumberFormat="1" applyFont="1" applyFill="1" applyBorder="1" applyAlignment="1" applyProtection="1">
      <alignment horizontal="right" vertical="center"/>
      <protection locked="0"/>
    </xf>
    <xf numFmtId="178" fontId="11" fillId="81" borderId="159" xfId="0" applyNumberFormat="1" applyFont="1" applyFill="1" applyBorder="1" applyAlignment="1">
      <alignment horizontal="right" vertical="center" shrinkToFit="1"/>
    </xf>
    <xf numFmtId="178" fontId="11" fillId="0" borderId="160" xfId="0" applyNumberFormat="1" applyFont="1" applyBorder="1" applyAlignment="1" applyProtection="1">
      <alignment horizontal="right" vertical="center"/>
      <protection locked="0"/>
    </xf>
    <xf numFmtId="178" fontId="11" fillId="5" borderId="160" xfId="0" applyNumberFormat="1" applyFont="1" applyFill="1" applyBorder="1" applyAlignment="1" applyProtection="1">
      <alignment horizontal="right" vertical="center"/>
      <protection locked="0"/>
    </xf>
    <xf numFmtId="177" fontId="11" fillId="5" borderId="159" xfId="0" applyNumberFormat="1" applyFont="1" applyFill="1" applyBorder="1" applyAlignment="1" applyProtection="1">
      <alignment horizontal="right" vertical="center"/>
      <protection locked="0"/>
    </xf>
    <xf numFmtId="178" fontId="86" fillId="5" borderId="159" xfId="0" applyNumberFormat="1" applyFont="1" applyFill="1" applyBorder="1" applyAlignment="1">
      <alignment horizontal="right" vertical="center"/>
    </xf>
    <xf numFmtId="178" fontId="86" fillId="5" borderId="160" xfId="0" applyNumberFormat="1" applyFont="1" applyFill="1" applyBorder="1" applyAlignment="1">
      <alignment horizontal="right" vertical="center" shrinkToFit="1"/>
    </xf>
    <xf numFmtId="187" fontId="11" fillId="5" borderId="160" xfId="110" quotePrefix="1" applyNumberFormat="1" applyFont="1" applyFill="1" applyBorder="1" applyAlignment="1">
      <alignment horizontal="right" vertical="center"/>
    </xf>
    <xf numFmtId="177" fontId="0" fillId="2" borderId="159" xfId="0" applyNumberFormat="1" applyFill="1" applyBorder="1" applyAlignment="1">
      <alignment horizontal="right" vertical="center"/>
    </xf>
    <xf numFmtId="177" fontId="83" fillId="0" borderId="159" xfId="0" quotePrefix="1" applyNumberFormat="1" applyFont="1" applyBorder="1" applyAlignment="1">
      <alignment horizontal="right" vertical="center"/>
    </xf>
    <xf numFmtId="178" fontId="83" fillId="0" borderId="160" xfId="0" applyNumberFormat="1" applyFont="1" applyBorder="1" applyAlignment="1" applyProtection="1">
      <alignment horizontal="right" vertical="center"/>
      <protection locked="0"/>
    </xf>
    <xf numFmtId="178" fontId="83" fillId="0" borderId="160" xfId="0" applyNumberFormat="1" applyFont="1" applyBorder="1" applyAlignment="1">
      <alignment horizontal="right" vertical="center" shrinkToFit="1"/>
    </xf>
    <xf numFmtId="178" fontId="83" fillId="2" borderId="159" xfId="0" applyNumberFormat="1" applyFont="1" applyFill="1" applyBorder="1" applyAlignment="1">
      <alignment horizontal="right" vertical="center" shrinkToFit="1"/>
    </xf>
    <xf numFmtId="178" fontId="11" fillId="0" borderId="160" xfId="0" applyNumberFormat="1" applyFont="1" applyBorder="1">
      <alignment vertical="center"/>
    </xf>
    <xf numFmtId="178" fontId="11" fillId="81" borderId="160" xfId="0" applyNumberFormat="1" applyFont="1" applyFill="1" applyBorder="1">
      <alignment vertical="center"/>
    </xf>
    <xf numFmtId="178" fontId="83" fillId="2" borderId="160" xfId="0" applyNumberFormat="1" applyFont="1" applyFill="1" applyBorder="1">
      <alignment vertical="center"/>
    </xf>
    <xf numFmtId="178" fontId="11" fillId="2" borderId="160" xfId="0" applyNumberFormat="1" applyFont="1" applyFill="1" applyBorder="1">
      <alignment vertical="center"/>
    </xf>
    <xf numFmtId="178" fontId="86" fillId="81" borderId="160" xfId="0" applyNumberFormat="1" applyFont="1" applyFill="1" applyBorder="1">
      <alignment vertical="center"/>
    </xf>
    <xf numFmtId="178" fontId="83" fillId="0" borderId="159" xfId="0" quotePrefix="1" applyNumberFormat="1" applyFont="1" applyBorder="1" applyAlignment="1">
      <alignment horizontal="right" vertical="center"/>
    </xf>
    <xf numFmtId="178" fontId="83" fillId="0" borderId="160" xfId="0" applyNumberFormat="1" applyFont="1" applyBorder="1">
      <alignment vertical="center"/>
    </xf>
    <xf numFmtId="178" fontId="11" fillId="5" borderId="159" xfId="0" applyNumberFormat="1" applyFont="1" applyFill="1" applyBorder="1" applyAlignment="1" applyProtection="1">
      <alignment horizontal="right" vertical="center"/>
      <protection locked="0"/>
    </xf>
    <xf numFmtId="178" fontId="11" fillId="5" borderId="160" xfId="0" applyNumberFormat="1" applyFont="1" applyFill="1" applyBorder="1" applyProtection="1">
      <alignment vertical="center"/>
      <protection locked="0"/>
    </xf>
    <xf numFmtId="178" fontId="83" fillId="2" borderId="159" xfId="0" applyNumberFormat="1" applyFont="1" applyFill="1" applyBorder="1" applyAlignment="1" applyProtection="1">
      <alignment horizontal="right" vertical="center"/>
      <protection locked="0"/>
    </xf>
    <xf numFmtId="178" fontId="11" fillId="81" borderId="159" xfId="0" applyNumberFormat="1" applyFont="1" applyFill="1" applyBorder="1" applyAlignment="1" applyProtection="1">
      <alignment horizontal="right" vertical="center"/>
      <protection locked="0"/>
    </xf>
    <xf numFmtId="178" fontId="11" fillId="81" borderId="160" xfId="0" applyNumberFormat="1" applyFont="1" applyFill="1" applyBorder="1" applyProtection="1">
      <alignment vertical="center"/>
      <protection locked="0"/>
    </xf>
    <xf numFmtId="178" fontId="11" fillId="2" borderId="159" xfId="0" applyNumberFormat="1" applyFont="1" applyFill="1" applyBorder="1" applyAlignment="1" applyProtection="1">
      <alignment horizontal="right" vertical="center"/>
      <protection locked="0"/>
    </xf>
    <xf numFmtId="178" fontId="11" fillId="2" borderId="160" xfId="0" applyNumberFormat="1" applyFont="1" applyFill="1" applyBorder="1" applyProtection="1">
      <alignment vertical="center"/>
      <protection locked="0"/>
    </xf>
    <xf numFmtId="177" fontId="11" fillId="2" borderId="159" xfId="0" applyNumberFormat="1" applyFont="1" applyFill="1" applyBorder="1" applyAlignment="1" applyProtection="1">
      <alignment horizontal="right" vertical="center"/>
      <protection locked="0"/>
    </xf>
    <xf numFmtId="177" fontId="11" fillId="81" borderId="159" xfId="0" applyNumberFormat="1" applyFont="1" applyFill="1" applyBorder="1" applyAlignment="1" applyProtection="1">
      <alignment horizontal="right" vertical="center"/>
      <protection locked="0"/>
    </xf>
    <xf numFmtId="178" fontId="11" fillId="0" borderId="160" xfId="0" applyNumberFormat="1" applyFont="1" applyBorder="1" applyProtection="1">
      <alignment vertical="center"/>
      <protection locked="0"/>
    </xf>
    <xf numFmtId="178" fontId="86" fillId="81" borderId="160" xfId="0" applyNumberFormat="1" applyFont="1" applyFill="1" applyBorder="1" applyProtection="1">
      <alignment vertical="center"/>
      <protection locked="0"/>
    </xf>
    <xf numFmtId="177" fontId="11" fillId="0" borderId="159" xfId="0" applyNumberFormat="1" applyFont="1" applyBorder="1" applyAlignment="1" applyProtection="1">
      <alignment horizontal="right" vertical="center"/>
      <protection locked="0"/>
    </xf>
    <xf numFmtId="178" fontId="11" fillId="0" borderId="159" xfId="0" applyNumberFormat="1" applyFont="1" applyBorder="1" applyAlignment="1" applyProtection="1">
      <alignment horizontal="right" vertical="center"/>
      <protection locked="0"/>
    </xf>
    <xf numFmtId="178" fontId="11" fillId="84" borderId="160" xfId="0" applyNumberFormat="1" applyFont="1" applyFill="1" applyBorder="1" applyAlignment="1" applyProtection="1">
      <alignment horizontal="right" vertical="center"/>
      <protection locked="0"/>
    </xf>
    <xf numFmtId="178" fontId="83" fillId="0" borderId="159" xfId="0" applyNumberFormat="1" applyFont="1" applyBorder="1" applyAlignment="1" applyProtection="1">
      <alignment horizontal="right" vertical="center"/>
      <protection locked="0"/>
    </xf>
    <xf numFmtId="178" fontId="83" fillId="0" borderId="160" xfId="0" applyNumberFormat="1" applyFont="1" applyBorder="1" applyProtection="1">
      <alignment vertical="center"/>
      <protection locked="0"/>
    </xf>
    <xf numFmtId="178" fontId="11" fillId="0" borderId="159" xfId="0" applyNumberFormat="1" applyFont="1" applyBorder="1" applyProtection="1">
      <alignment vertical="center"/>
      <protection locked="0"/>
    </xf>
    <xf numFmtId="0" fontId="0" fillId="2" borderId="0" xfId="0" applyFill="1" applyAlignment="1">
      <alignment vertical="center" wrapText="1"/>
    </xf>
    <xf numFmtId="0" fontId="0" fillId="0" borderId="0" xfId="0" applyAlignment="1">
      <alignment vertical="center" wrapText="1"/>
    </xf>
    <xf numFmtId="0" fontId="74" fillId="0" borderId="0" xfId="0" applyFont="1" applyAlignment="1">
      <alignment horizontal="center" vertical="center" wrapText="1"/>
    </xf>
    <xf numFmtId="0" fontId="73" fillId="0" borderId="31" xfId="0" applyFont="1" applyBorder="1" applyAlignment="1">
      <alignment vertical="center" wrapText="1"/>
    </xf>
    <xf numFmtId="0" fontId="73" fillId="0" borderId="32" xfId="0" applyFont="1" applyBorder="1">
      <alignment vertical="center"/>
    </xf>
    <xf numFmtId="0" fontId="73" fillId="0" borderId="37" xfId="0" applyFont="1" applyBorder="1">
      <alignment vertical="center"/>
    </xf>
    <xf numFmtId="0" fontId="73" fillId="2" borderId="31" xfId="0" applyFont="1" applyFill="1" applyBorder="1" applyAlignment="1">
      <alignment horizontal="left" vertical="center"/>
    </xf>
    <xf numFmtId="0" fontId="73" fillId="2" borderId="32" xfId="0" applyFont="1" applyFill="1" applyBorder="1" applyAlignment="1">
      <alignment horizontal="left" vertical="center"/>
    </xf>
    <xf numFmtId="0" fontId="73" fillId="2" borderId="37" xfId="0" applyFont="1" applyFill="1" applyBorder="1" applyAlignment="1">
      <alignment horizontal="left" vertical="center"/>
    </xf>
    <xf numFmtId="0" fontId="73" fillId="2" borderId="109" xfId="0" applyFont="1" applyFill="1" applyBorder="1" applyAlignment="1">
      <alignment horizontal="left" vertical="center"/>
    </xf>
    <xf numFmtId="0" fontId="73" fillId="2" borderId="116" xfId="0" applyFont="1" applyFill="1" applyBorder="1" applyAlignment="1">
      <alignment horizontal="left" vertical="center"/>
    </xf>
    <xf numFmtId="0" fontId="73" fillId="0" borderId="95" xfId="0" applyFont="1" applyBorder="1" applyAlignment="1">
      <alignment vertical="top" wrapText="1"/>
    </xf>
    <xf numFmtId="0" fontId="73" fillId="0" borderId="101" xfId="0" applyFont="1" applyBorder="1" applyAlignment="1">
      <alignment vertical="top"/>
    </xf>
    <xf numFmtId="0" fontId="125" fillId="2" borderId="0" xfId="0" applyFont="1" applyFill="1" applyAlignment="1">
      <alignment horizontal="center" vertical="center"/>
    </xf>
    <xf numFmtId="0" fontId="73" fillId="2" borderId="0" xfId="0" applyFont="1" applyFill="1" applyAlignment="1">
      <alignment horizontal="center" vertical="center"/>
    </xf>
    <xf numFmtId="0" fontId="73" fillId="2" borderId="31" xfId="0" applyFont="1" applyFill="1" applyBorder="1" applyAlignment="1">
      <alignment horizontal="center" vertical="center" wrapText="1"/>
    </xf>
    <xf numFmtId="0" fontId="73" fillId="2" borderId="37" xfId="0" applyFont="1" applyFill="1" applyBorder="1" applyAlignment="1">
      <alignment horizontal="center" vertical="center" wrapText="1"/>
    </xf>
    <xf numFmtId="0" fontId="75" fillId="0" borderId="25" xfId="0" applyFont="1" applyBorder="1" applyAlignment="1">
      <alignment horizontal="center" vertical="center" wrapText="1"/>
    </xf>
    <xf numFmtId="0" fontId="40" fillId="0" borderId="161" xfId="0" applyFont="1" applyBorder="1" applyAlignment="1">
      <alignment vertical="center" wrapText="1"/>
    </xf>
    <xf numFmtId="0" fontId="40" fillId="0" borderId="6" xfId="0" applyFont="1" applyBorder="1" applyAlignment="1">
      <alignment vertical="center" wrapText="1"/>
    </xf>
    <xf numFmtId="0" fontId="79" fillId="0" borderId="18" xfId="0" applyFont="1" applyBorder="1" applyAlignment="1">
      <alignment horizontal="distributed" vertical="center" wrapText="1"/>
    </xf>
    <xf numFmtId="0" fontId="40" fillId="0" borderId="6" xfId="0" applyFont="1" applyBorder="1">
      <alignment vertical="center"/>
    </xf>
    <xf numFmtId="0" fontId="81" fillId="0" borderId="6" xfId="0" applyFont="1" applyBorder="1" applyAlignment="1">
      <alignment horizontal="distributed" vertical="center" wrapText="1"/>
    </xf>
    <xf numFmtId="0" fontId="75" fillId="0" borderId="117"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75" fillId="0" borderId="18" xfId="0" applyFont="1" applyBorder="1" applyAlignment="1">
      <alignment horizontal="center" vertical="center" shrinkToFit="1"/>
    </xf>
    <xf numFmtId="0" fontId="79" fillId="0" borderId="121" xfId="0" applyFont="1" applyBorder="1" applyAlignment="1">
      <alignment horizontal="center" vertical="center" wrapText="1"/>
    </xf>
    <xf numFmtId="0" fontId="81" fillId="0" borderId="21" xfId="0" applyFont="1" applyBorder="1" applyAlignment="1">
      <alignment horizontal="center" vertical="center" wrapText="1"/>
    </xf>
    <xf numFmtId="0" fontId="75" fillId="0" borderId="54" xfId="0" applyFont="1" applyBorder="1" applyAlignment="1">
      <alignment horizontal="center" vertical="center" wrapText="1"/>
    </xf>
    <xf numFmtId="0" fontId="40" fillId="0" borderId="48" xfId="0" applyFont="1" applyBorder="1" applyAlignment="1">
      <alignment horizontal="center" vertical="center" wrapText="1"/>
    </xf>
    <xf numFmtId="0" fontId="76" fillId="0" borderId="60" xfId="0" applyFont="1" applyBorder="1" applyAlignment="1">
      <alignment horizontal="center" vertical="center" wrapText="1"/>
    </xf>
    <xf numFmtId="0" fontId="40" fillId="0" borderId="47" xfId="0" applyFont="1" applyBorder="1" applyAlignment="1">
      <alignment horizontal="center" vertical="center"/>
    </xf>
    <xf numFmtId="0" fontId="40" fillId="0" borderId="48" xfId="0" applyFont="1" applyBorder="1" applyAlignment="1">
      <alignment horizontal="center" vertical="center"/>
    </xf>
    <xf numFmtId="0" fontId="75" fillId="0" borderId="53" xfId="0" applyFont="1" applyBorder="1" applyAlignment="1">
      <alignment horizontal="center" vertical="center" wrapText="1"/>
    </xf>
    <xf numFmtId="0" fontId="75" fillId="0" borderId="120" xfId="0" applyFont="1" applyBorder="1" applyAlignment="1">
      <alignment horizontal="center" vertical="center" wrapText="1"/>
    </xf>
    <xf numFmtId="0" fontId="75" fillId="0" borderId="161" xfId="0" applyFont="1" applyBorder="1" applyAlignment="1">
      <alignment horizontal="center" vertical="center" wrapText="1"/>
    </xf>
    <xf numFmtId="0" fontId="75" fillId="0" borderId="6" xfId="0" applyFont="1" applyBorder="1" applyAlignment="1">
      <alignment horizontal="center" vertical="center" wrapText="1"/>
    </xf>
    <xf numFmtId="0" fontId="76" fillId="0" borderId="119" xfId="0" applyFont="1" applyBorder="1" applyAlignment="1">
      <alignment horizontal="center" vertical="center" wrapText="1"/>
    </xf>
    <xf numFmtId="0" fontId="40" fillId="0" borderId="118" xfId="0" applyFont="1" applyBorder="1" applyAlignment="1">
      <alignment horizontal="center" vertical="center" wrapText="1"/>
    </xf>
    <xf numFmtId="177" fontId="7" fillId="0" borderId="0" xfId="0" applyNumberFormat="1" applyFont="1">
      <alignment vertical="center"/>
    </xf>
    <xf numFmtId="0" fontId="6" fillId="0" borderId="0" xfId="0" applyFont="1">
      <alignment vertical="center"/>
    </xf>
    <xf numFmtId="0" fontId="76" fillId="0" borderId="119" xfId="0" applyFont="1" applyBorder="1" applyAlignment="1">
      <alignment horizontal="center" vertical="center"/>
    </xf>
    <xf numFmtId="0" fontId="76" fillId="0" borderId="7" xfId="0" applyFont="1" applyBorder="1" applyAlignment="1">
      <alignment horizontal="center" vertical="center"/>
    </xf>
    <xf numFmtId="0" fontId="76" fillId="0" borderId="8" xfId="0" applyFont="1" applyBorder="1" applyAlignment="1">
      <alignment horizontal="center" vertical="center"/>
    </xf>
    <xf numFmtId="0" fontId="76" fillId="0" borderId="117" xfId="0" applyFont="1" applyBorder="1" applyAlignment="1">
      <alignment horizontal="center" vertical="center"/>
    </xf>
    <xf numFmtId="0" fontId="76" fillId="0" borderId="26" xfId="0" applyFont="1" applyBorder="1" applyAlignment="1">
      <alignment horizontal="center" vertical="center" wrapText="1"/>
    </xf>
    <xf numFmtId="0" fontId="76" fillId="0" borderId="160" xfId="0" applyFont="1" applyBorder="1" applyAlignment="1">
      <alignment horizontal="center" vertical="center"/>
    </xf>
    <xf numFmtId="0" fontId="75" fillId="0" borderId="160" xfId="0" applyFont="1" applyBorder="1" applyAlignment="1">
      <alignment horizontal="center" vertical="center" wrapText="1" shrinkToFit="1"/>
    </xf>
    <xf numFmtId="0" fontId="75" fillId="0" borderId="52" xfId="0" applyFont="1" applyBorder="1" applyAlignment="1">
      <alignment horizontal="center" vertical="center" wrapText="1" shrinkToFit="1"/>
    </xf>
    <xf numFmtId="0" fontId="16" fillId="0" borderId="0" xfId="0" applyFont="1" applyAlignment="1">
      <alignment horizontal="left" vertical="top" wrapText="1"/>
    </xf>
    <xf numFmtId="0" fontId="76" fillId="0" borderId="25" xfId="0" applyFont="1" applyBorder="1" applyAlignment="1">
      <alignment horizontal="center" vertical="center" wrapText="1"/>
    </xf>
    <xf numFmtId="0" fontId="76" fillId="0" borderId="60" xfId="0" applyFont="1" applyBorder="1" applyAlignment="1">
      <alignment horizontal="distributed" vertical="center" wrapText="1" justifyLastLine="1" shrinkToFit="1"/>
    </xf>
    <xf numFmtId="0" fontId="40" fillId="0" borderId="47" xfId="0" applyFont="1" applyBorder="1" applyAlignment="1">
      <alignment horizontal="distributed" vertical="center" justifyLastLine="1"/>
    </xf>
    <xf numFmtId="0" fontId="40" fillId="0" borderId="48" xfId="0" applyFont="1" applyBorder="1" applyAlignment="1">
      <alignment horizontal="distributed" vertical="center" justifyLastLine="1"/>
    </xf>
    <xf numFmtId="0" fontId="76" fillId="0" borderId="12" xfId="0" applyFont="1" applyBorder="1" applyAlignment="1">
      <alignment horizontal="center" vertical="center"/>
    </xf>
    <xf numFmtId="0" fontId="76" fillId="0" borderId="118"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horizontal="left" vertical="center" wrapText="1"/>
    </xf>
    <xf numFmtId="0" fontId="76" fillId="0" borderId="24" xfId="0" applyFont="1" applyBorder="1" applyAlignment="1">
      <alignment horizontal="center" vertical="center" wrapText="1"/>
    </xf>
    <xf numFmtId="0" fontId="76" fillId="0" borderId="47" xfId="0" applyFont="1" applyBorder="1" applyAlignment="1">
      <alignment horizontal="center" vertical="center"/>
    </xf>
    <xf numFmtId="0" fontId="76" fillId="0" borderId="48" xfId="0" applyFont="1" applyBorder="1" applyAlignment="1">
      <alignment horizontal="center" vertical="center"/>
    </xf>
    <xf numFmtId="0" fontId="77" fillId="0" borderId="13" xfId="0" applyFont="1" applyBorder="1" applyAlignment="1">
      <alignment horizontal="left" vertical="center" wrapText="1"/>
    </xf>
    <xf numFmtId="0" fontId="75" fillId="0" borderId="19" xfId="0" applyFont="1" applyBorder="1" applyAlignment="1">
      <alignment horizontal="center" vertical="center" shrinkToFit="1"/>
    </xf>
    <xf numFmtId="0" fontId="40" fillId="0" borderId="11" xfId="0" applyFont="1" applyBorder="1" applyAlignment="1">
      <alignment vertical="center" shrinkToFit="1"/>
    </xf>
    <xf numFmtId="0" fontId="40" fillId="0" borderId="6" xfId="0" applyFont="1" applyBorder="1" applyAlignment="1">
      <alignment vertical="center" shrinkToFit="1"/>
    </xf>
    <xf numFmtId="0" fontId="79" fillId="2" borderId="23" xfId="0" applyFont="1" applyFill="1" applyBorder="1" applyAlignment="1">
      <alignment horizontal="distributed" vertical="center" wrapText="1"/>
    </xf>
    <xf numFmtId="0" fontId="79" fillId="2" borderId="160" xfId="0" applyFont="1" applyFill="1" applyBorder="1" applyAlignment="1">
      <alignment horizontal="distributed" vertical="center"/>
    </xf>
    <xf numFmtId="0" fontId="76" fillId="0" borderId="18" xfId="0" applyFont="1" applyBorder="1" applyAlignment="1">
      <alignment horizontal="distributed" vertical="center" wrapText="1"/>
    </xf>
    <xf numFmtId="0" fontId="76" fillId="0" borderId="161" xfId="0" applyFont="1" applyBorder="1" applyAlignment="1">
      <alignment horizontal="distributed" vertical="center"/>
    </xf>
    <xf numFmtId="0" fontId="76" fillId="0" borderId="19" xfId="0" applyFont="1" applyBorder="1" applyAlignment="1">
      <alignment horizontal="distributed" vertical="center" wrapText="1"/>
    </xf>
    <xf numFmtId="0" fontId="40" fillId="0" borderId="28" xfId="0" applyFont="1" applyBorder="1">
      <alignment vertical="center"/>
    </xf>
    <xf numFmtId="0" fontId="76" fillId="0" borderId="12" xfId="0" applyFont="1" applyBorder="1" applyAlignment="1">
      <alignment horizontal="center" vertical="center" wrapText="1"/>
    </xf>
    <xf numFmtId="0" fontId="76" fillId="0" borderId="159" xfId="0" applyFont="1" applyBorder="1" applyAlignment="1">
      <alignment horizontal="center" vertical="center" wrapText="1"/>
    </xf>
    <xf numFmtId="0" fontId="77" fillId="0" borderId="13" xfId="0" applyFont="1" applyBorder="1" applyAlignment="1">
      <alignment horizontal="left" vertical="center" wrapText="1" shrinkToFit="1"/>
    </xf>
    <xf numFmtId="0" fontId="75" fillId="0" borderId="25" xfId="0" applyFont="1" applyBorder="1" applyAlignment="1">
      <alignment horizontal="center" vertical="center"/>
    </xf>
    <xf numFmtId="0" fontId="75" fillId="0" borderId="161" xfId="0" applyFont="1" applyBorder="1" applyAlignment="1">
      <alignment horizontal="center" vertical="center"/>
    </xf>
    <xf numFmtId="0" fontId="75" fillId="0" borderId="6" xfId="0" applyFont="1" applyBorder="1" applyAlignment="1">
      <alignment horizontal="center" vertical="center"/>
    </xf>
    <xf numFmtId="0" fontId="16" fillId="0" borderId="0" xfId="0" applyFont="1" applyAlignment="1">
      <alignment horizontal="left" vertical="center" wrapText="1" shrinkToFit="1"/>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76" fillId="0" borderId="19" xfId="0" applyFont="1" applyBorder="1" applyAlignment="1">
      <alignment horizontal="center" vertical="center"/>
    </xf>
    <xf numFmtId="0" fontId="76" fillId="0" borderId="159" xfId="0" applyFont="1" applyBorder="1" applyAlignment="1">
      <alignment horizontal="center" vertical="center"/>
    </xf>
    <xf numFmtId="0" fontId="76" fillId="0" borderId="5" xfId="0" applyFont="1" applyBorder="1" applyAlignment="1">
      <alignment horizontal="center" vertical="center"/>
    </xf>
    <xf numFmtId="0" fontId="78" fillId="0" borderId="31" xfId="0" applyFont="1" applyBorder="1" applyAlignment="1">
      <alignment horizontal="center" vertical="center" wrapText="1"/>
    </xf>
    <xf numFmtId="0" fontId="78" fillId="0" borderId="32" xfId="0" applyFont="1" applyBorder="1" applyAlignment="1">
      <alignment horizontal="center" vertical="center" wrapText="1"/>
    </xf>
    <xf numFmtId="0" fontId="78" fillId="0" borderId="122" xfId="0" applyFont="1" applyBorder="1" applyAlignment="1">
      <alignment horizontal="center" vertical="center" wrapText="1"/>
    </xf>
    <xf numFmtId="0" fontId="76" fillId="0" borderId="27" xfId="0" applyFont="1" applyBorder="1" applyAlignment="1">
      <alignment horizontal="center" vertical="center"/>
    </xf>
    <xf numFmtId="0" fontId="76" fillId="0" borderId="21" xfId="0" applyFont="1" applyBorder="1" applyAlignment="1">
      <alignment horizontal="center" vertical="center"/>
    </xf>
    <xf numFmtId="182" fontId="76" fillId="0" borderId="12" xfId="0" applyNumberFormat="1" applyFont="1" applyBorder="1" applyAlignment="1">
      <alignment horizontal="center" vertical="center" shrinkToFit="1"/>
    </xf>
    <xf numFmtId="0" fontId="40" fillId="0" borderId="33" xfId="0" applyFont="1" applyBorder="1" applyAlignment="1">
      <alignment vertical="center" shrinkToFit="1"/>
    </xf>
    <xf numFmtId="0" fontId="76" fillId="0" borderId="31" xfId="0" applyFont="1" applyBorder="1" applyAlignment="1">
      <alignment horizontal="center" vertical="center" wrapText="1"/>
    </xf>
    <xf numFmtId="0" fontId="76" fillId="0" borderId="32" xfId="0" applyFont="1" applyBorder="1" applyAlignment="1">
      <alignment horizontal="center" vertical="center" wrapText="1"/>
    </xf>
    <xf numFmtId="0" fontId="76" fillId="0" borderId="122" xfId="0" applyFont="1" applyBorder="1" applyAlignment="1">
      <alignment horizontal="center" vertical="center" wrapText="1"/>
    </xf>
    <xf numFmtId="0" fontId="77" fillId="2" borderId="51" xfId="0" applyFont="1" applyFill="1" applyBorder="1" applyAlignment="1">
      <alignment horizontal="center" vertical="center" wrapText="1"/>
    </xf>
    <xf numFmtId="0" fontId="77" fillId="2" borderId="38" xfId="0" applyFont="1" applyFill="1" applyBorder="1" applyAlignment="1">
      <alignment horizontal="center" vertical="center" wrapText="1"/>
    </xf>
    <xf numFmtId="0" fontId="75" fillId="0" borderId="23" xfId="0" applyFont="1" applyBorder="1" applyAlignment="1">
      <alignment horizontal="center" vertical="center" wrapText="1"/>
    </xf>
    <xf numFmtId="0" fontId="75" fillId="0" borderId="52" xfId="0" applyFont="1" applyBorder="1" applyAlignment="1">
      <alignment horizontal="center" vertical="center" wrapText="1"/>
    </xf>
    <xf numFmtId="0" fontId="76" fillId="0" borderId="24" xfId="0" applyFont="1" applyBorder="1" applyAlignment="1">
      <alignment horizontal="center" vertical="center"/>
    </xf>
    <xf numFmtId="0" fontId="76" fillId="0" borderId="13" xfId="0" applyFont="1" applyBorder="1" applyAlignment="1">
      <alignment horizontal="center" vertical="center"/>
    </xf>
    <xf numFmtId="0" fontId="40" fillId="0" borderId="161" xfId="0" applyFont="1" applyBorder="1" applyAlignment="1">
      <alignment horizontal="center" vertical="center" wrapText="1"/>
    </xf>
    <xf numFmtId="0" fontId="40" fillId="0" borderId="6" xfId="0" applyFont="1" applyBorder="1" applyAlignment="1">
      <alignment horizontal="center" vertical="center" wrapText="1"/>
    </xf>
    <xf numFmtId="0" fontId="75" fillId="0" borderId="18" xfId="0" applyFont="1" applyBorder="1" applyAlignment="1">
      <alignment horizontal="center" vertical="center" wrapText="1"/>
    </xf>
    <xf numFmtId="0" fontId="79" fillId="0" borderId="17" xfId="0" applyFont="1" applyBorder="1" applyAlignment="1">
      <alignment horizontal="center" vertical="center" wrapText="1"/>
    </xf>
    <xf numFmtId="0" fontId="81" fillId="0" borderId="53" xfId="0" applyFont="1" applyBorder="1" applyAlignment="1">
      <alignment horizontal="center" vertical="center" wrapText="1"/>
    </xf>
    <xf numFmtId="0" fontId="81" fillId="0" borderId="120" xfId="0" applyFont="1" applyBorder="1" applyAlignment="1">
      <alignment horizontal="center" vertical="center" wrapText="1"/>
    </xf>
    <xf numFmtId="183" fontId="76" fillId="0" borderId="33" xfId="0" applyNumberFormat="1" applyFont="1" applyBorder="1" applyAlignment="1">
      <alignment horizontal="center" vertical="center" wrapText="1"/>
    </xf>
    <xf numFmtId="0" fontId="40" fillId="0" borderId="51" xfId="0" applyFont="1" applyBorder="1" applyAlignment="1">
      <alignment horizontal="center" vertical="center" wrapText="1"/>
    </xf>
    <xf numFmtId="0" fontId="40" fillId="0" borderId="38" xfId="0" applyFont="1" applyBorder="1" applyAlignment="1">
      <alignment horizontal="center" vertical="center" wrapText="1"/>
    </xf>
    <xf numFmtId="0" fontId="75" fillId="0" borderId="18" xfId="0" applyFont="1" applyBorder="1" applyAlignment="1">
      <alignment horizontal="center" vertical="center"/>
    </xf>
    <xf numFmtId="0" fontId="40" fillId="0" borderId="6" xfId="0" applyFont="1" applyBorder="1" applyAlignment="1">
      <alignment horizontal="center" vertical="center"/>
    </xf>
    <xf numFmtId="0" fontId="75" fillId="0" borderId="24" xfId="0" applyFont="1" applyBorder="1" applyAlignment="1">
      <alignment horizontal="left" vertical="center" shrinkToFit="1"/>
    </xf>
    <xf numFmtId="0" fontId="75" fillId="0" borderId="33" xfId="0" applyFont="1" applyBorder="1" applyAlignment="1">
      <alignment horizontal="left" vertical="center" shrinkToFit="1"/>
    </xf>
    <xf numFmtId="0" fontId="75" fillId="0" borderId="12" xfId="0" applyFont="1" applyBorder="1" applyAlignment="1">
      <alignment horizontal="left" vertical="center" shrinkToFit="1"/>
    </xf>
    <xf numFmtId="0" fontId="75" fillId="0" borderId="13" xfId="0" applyFont="1" applyBorder="1" applyAlignment="1">
      <alignment horizontal="left" vertical="center" shrinkToFit="1"/>
    </xf>
    <xf numFmtId="0" fontId="75" fillId="0" borderId="13" xfId="0" applyFont="1" applyBorder="1" applyAlignment="1">
      <alignment horizontal="left" vertical="center"/>
    </xf>
    <xf numFmtId="0" fontId="75" fillId="0" borderId="33" xfId="0" applyFont="1" applyBorder="1" applyAlignment="1">
      <alignment horizontal="left" vertical="center"/>
    </xf>
    <xf numFmtId="0" fontId="77" fillId="0" borderId="12" xfId="0" applyFont="1" applyBorder="1" applyAlignment="1">
      <alignment horizontal="center" vertical="center" wrapText="1" shrinkToFit="1"/>
    </xf>
    <xf numFmtId="0" fontId="77" fillId="0" borderId="33" xfId="0" applyFont="1" applyBorder="1" applyAlignment="1">
      <alignment horizontal="center" vertical="center" wrapText="1" shrinkToFit="1"/>
    </xf>
    <xf numFmtId="0" fontId="77" fillId="0" borderId="159" xfId="0" applyFont="1" applyBorder="1" applyAlignment="1">
      <alignment horizontal="center" vertical="center" wrapText="1" shrinkToFit="1"/>
    </xf>
    <xf numFmtId="0" fontId="77" fillId="0" borderId="38" xfId="0" applyFont="1" applyBorder="1" applyAlignment="1">
      <alignment horizontal="center" vertical="center" wrapText="1" shrinkToFit="1"/>
    </xf>
    <xf numFmtId="0" fontId="93" fillId="0" borderId="0" xfId="0" applyFont="1" applyAlignment="1">
      <alignment horizontal="center" vertical="center"/>
    </xf>
    <xf numFmtId="0" fontId="75" fillId="0" borderId="12" xfId="0" applyFont="1" applyBorder="1" applyAlignment="1">
      <alignment horizontal="left" vertical="center"/>
    </xf>
    <xf numFmtId="0" fontId="40" fillId="0" borderId="161" xfId="0" applyFont="1" applyBorder="1" applyAlignment="1">
      <alignment horizontal="center" vertical="center"/>
    </xf>
    <xf numFmtId="0" fontId="75" fillId="0" borderId="26" xfId="0" applyFont="1" applyBorder="1" applyAlignment="1">
      <alignment horizontal="center" vertical="center" wrapText="1"/>
    </xf>
    <xf numFmtId="0" fontId="40" fillId="0" borderId="160" xfId="0" applyFont="1" applyBorder="1" applyAlignment="1">
      <alignment horizontal="center" vertical="center" wrapText="1"/>
    </xf>
    <xf numFmtId="0" fontId="40" fillId="0" borderId="52" xfId="0" applyFont="1" applyBorder="1" applyAlignment="1">
      <alignment horizontal="center" vertical="center" wrapText="1"/>
    </xf>
    <xf numFmtId="0" fontId="75" fillId="2" borderId="12" xfId="0" applyFont="1" applyFill="1" applyBorder="1" applyAlignment="1">
      <alignment horizontal="center" vertical="center"/>
    </xf>
    <xf numFmtId="0" fontId="75" fillId="2" borderId="33" xfId="0" applyFont="1" applyFill="1" applyBorder="1" applyAlignment="1">
      <alignment horizontal="center" vertical="center"/>
    </xf>
    <xf numFmtId="0" fontId="75" fillId="2" borderId="60" xfId="0" applyFont="1" applyFill="1" applyBorder="1" applyAlignment="1">
      <alignment horizontal="center" vertical="center" wrapText="1"/>
    </xf>
    <xf numFmtId="0" fontId="75" fillId="2" borderId="47" xfId="0" applyFont="1" applyFill="1" applyBorder="1" applyAlignment="1">
      <alignment horizontal="center" vertical="center"/>
    </xf>
    <xf numFmtId="0" fontId="75" fillId="2" borderId="48" xfId="0" applyFont="1" applyFill="1" applyBorder="1" applyAlignment="1">
      <alignment horizontal="center" vertical="center"/>
    </xf>
    <xf numFmtId="0" fontId="75" fillId="0" borderId="23" xfId="0" applyFont="1" applyBorder="1" applyAlignment="1">
      <alignment horizontal="center" vertical="center"/>
    </xf>
    <xf numFmtId="0" fontId="75" fillId="0" borderId="52" xfId="0" applyFont="1" applyBorder="1" applyAlignment="1">
      <alignment horizontal="center" vertical="center"/>
    </xf>
    <xf numFmtId="0" fontId="75" fillId="0" borderId="12" xfId="0" applyFont="1" applyBorder="1" applyAlignment="1">
      <alignment horizontal="left" vertical="center" wrapText="1"/>
    </xf>
    <xf numFmtId="0" fontId="75" fillId="0" borderId="17" xfId="0" applyFont="1" applyBorder="1" applyAlignment="1">
      <alignment horizontal="left" vertical="center" wrapText="1"/>
    </xf>
    <xf numFmtId="0" fontId="75" fillId="0" borderId="19" xfId="0" applyFont="1" applyBorder="1" applyAlignment="1">
      <alignment horizontal="center" vertical="center"/>
    </xf>
    <xf numFmtId="0" fontId="40" fillId="0" borderId="11" xfId="0" applyFont="1" applyBorder="1" applyAlignment="1">
      <alignment horizontal="center" vertical="center"/>
    </xf>
    <xf numFmtId="0" fontId="77" fillId="0" borderId="0" xfId="0" applyFont="1" applyAlignment="1">
      <alignment horizontal="left" vertical="top" wrapText="1"/>
    </xf>
    <xf numFmtId="0" fontId="77" fillId="0" borderId="0" xfId="0" applyFont="1" applyAlignment="1">
      <alignment vertical="top" wrapText="1"/>
    </xf>
    <xf numFmtId="0" fontId="82" fillId="0" borderId="0" xfId="0" applyFont="1" applyAlignment="1">
      <alignment vertical="top" wrapText="1"/>
    </xf>
    <xf numFmtId="0" fontId="79" fillId="0" borderId="25" xfId="0" applyFont="1" applyBorder="1" applyAlignment="1">
      <alignment horizontal="center" vertical="center" wrapText="1"/>
    </xf>
    <xf numFmtId="0" fontId="79" fillId="0" borderId="161" xfId="0" applyFont="1" applyBorder="1" applyAlignment="1">
      <alignment horizontal="center" vertical="center" wrapText="1"/>
    </xf>
    <xf numFmtId="0" fontId="79" fillId="0" borderId="6" xfId="0" applyFont="1" applyBorder="1" applyAlignment="1">
      <alignment horizontal="center" vertical="center" wrapText="1"/>
    </xf>
    <xf numFmtId="0" fontId="76" fillId="0" borderId="18" xfId="0" applyFont="1" applyBorder="1" applyAlignment="1">
      <alignment horizontal="center" vertical="center" wrapText="1"/>
    </xf>
    <xf numFmtId="0" fontId="76" fillId="0" borderId="6" xfId="0" applyFont="1" applyBorder="1" applyAlignment="1">
      <alignment horizontal="center" vertical="center" wrapText="1"/>
    </xf>
    <xf numFmtId="0" fontId="77" fillId="2" borderId="47" xfId="0" applyFont="1" applyFill="1" applyBorder="1" applyAlignment="1">
      <alignment horizontal="center" vertical="center" wrapText="1"/>
    </xf>
    <xf numFmtId="0" fontId="77" fillId="2" borderId="48" xfId="0" applyFont="1" applyFill="1" applyBorder="1" applyAlignment="1">
      <alignment horizontal="center" vertical="center" wrapText="1"/>
    </xf>
    <xf numFmtId="0" fontId="75" fillId="0" borderId="60" xfId="0" applyFont="1" applyBorder="1" applyAlignment="1">
      <alignment horizontal="center" vertical="center" wrapText="1"/>
    </xf>
    <xf numFmtId="0" fontId="40" fillId="0" borderId="47" xfId="0" applyFont="1" applyBorder="1" applyAlignment="1">
      <alignment horizontal="center" vertical="center" wrapText="1"/>
    </xf>
    <xf numFmtId="0" fontId="75" fillId="0" borderId="160" xfId="0" applyFont="1" applyBorder="1" applyAlignment="1">
      <alignment horizontal="center" vertical="center" wrapText="1"/>
    </xf>
    <xf numFmtId="0" fontId="75" fillId="0" borderId="26" xfId="0" applyFont="1" applyBorder="1" applyAlignment="1">
      <alignment horizontal="center" vertical="center"/>
    </xf>
    <xf numFmtId="0" fontId="40" fillId="0" borderId="160" xfId="0" applyFont="1" applyBorder="1" applyAlignment="1">
      <alignment horizontal="center" vertical="center"/>
    </xf>
    <xf numFmtId="0" fontId="40" fillId="0" borderId="52" xfId="0" applyFont="1" applyBorder="1" applyAlignment="1">
      <alignment horizontal="center" vertical="center"/>
    </xf>
    <xf numFmtId="0" fontId="75" fillId="2" borderId="18" xfId="0" applyFont="1" applyFill="1" applyBorder="1" applyAlignment="1">
      <alignment horizontal="center" vertical="center"/>
    </xf>
    <xf numFmtId="0" fontId="75" fillId="2" borderId="6" xfId="0" applyFont="1" applyFill="1" applyBorder="1" applyAlignment="1">
      <alignment horizontal="center" vertical="center"/>
    </xf>
    <xf numFmtId="0" fontId="76" fillId="0" borderId="18" xfId="0" applyFont="1" applyBorder="1" applyAlignment="1">
      <alignment horizontal="center" vertical="center"/>
    </xf>
    <xf numFmtId="0" fontId="77" fillId="0" borderId="0" xfId="0" applyFont="1" applyAlignment="1">
      <alignment horizontal="left" vertical="center" wrapText="1"/>
    </xf>
    <xf numFmtId="0" fontId="82" fillId="0" borderId="0" xfId="0" applyFont="1" applyAlignment="1">
      <alignment horizontal="left" vertical="center" wrapText="1"/>
    </xf>
    <xf numFmtId="0" fontId="82" fillId="0" borderId="0" xfId="0" applyFont="1" applyAlignment="1">
      <alignment vertical="center" wrapText="1"/>
    </xf>
    <xf numFmtId="0" fontId="76" fillId="0" borderId="17" xfId="0" applyFont="1" applyBorder="1" applyAlignment="1">
      <alignment horizontal="center" vertical="center"/>
    </xf>
    <xf numFmtId="0" fontId="23" fillId="0" borderId="0" xfId="0" applyFont="1" applyAlignment="1">
      <alignment horizontal="center" vertical="center"/>
    </xf>
    <xf numFmtId="0" fontId="16" fillId="0" borderId="0" xfId="0" applyFont="1" applyAlignment="1">
      <alignment vertical="top" wrapText="1" shrinkToFit="1"/>
    </xf>
    <xf numFmtId="0" fontId="6" fillId="0" borderId="0" xfId="0" applyFont="1" applyAlignment="1">
      <alignment vertical="top" wrapText="1" shrinkToFit="1"/>
    </xf>
    <xf numFmtId="0" fontId="0" fillId="0" borderId="0" xfId="0" applyAlignment="1">
      <alignment vertical="top" wrapText="1"/>
    </xf>
    <xf numFmtId="0" fontId="40" fillId="0" borderId="15" xfId="0" applyFont="1" applyBorder="1" applyAlignment="1">
      <alignment horizontal="center" vertical="center"/>
    </xf>
    <xf numFmtId="0" fontId="79" fillId="0" borderId="12" xfId="0" applyFont="1" applyBorder="1" applyAlignment="1">
      <alignment horizontal="center" vertical="center" wrapText="1"/>
    </xf>
    <xf numFmtId="0" fontId="81" fillId="0" borderId="159" xfId="0" applyFont="1" applyBorder="1" applyAlignment="1">
      <alignment horizontal="center" vertical="center"/>
    </xf>
    <xf numFmtId="0" fontId="40" fillId="0" borderId="7" xfId="0" applyFont="1" applyBorder="1" applyAlignment="1">
      <alignment horizontal="center" vertical="center" shrinkToFit="1"/>
    </xf>
    <xf numFmtId="0" fontId="75" fillId="0" borderId="19" xfId="0" applyFont="1" applyBorder="1" applyAlignment="1">
      <alignment horizontal="center" vertical="center" wrapText="1"/>
    </xf>
    <xf numFmtId="0" fontId="40" fillId="0" borderId="159" xfId="0" applyFont="1" applyBorder="1" applyAlignment="1">
      <alignment horizontal="center" vertical="center"/>
    </xf>
    <xf numFmtId="0" fontId="16" fillId="0" borderId="0" xfId="0" applyFont="1" applyAlignment="1">
      <alignment vertical="center" wrapText="1"/>
    </xf>
    <xf numFmtId="0" fontId="92" fillId="0" borderId="0" xfId="136" applyFont="1" applyAlignment="1">
      <alignment horizontal="center" vertical="center"/>
    </xf>
    <xf numFmtId="0" fontId="92" fillId="0" borderId="16" xfId="136" applyFont="1" applyBorder="1" applyAlignment="1">
      <alignment horizontal="center" vertical="center"/>
    </xf>
    <xf numFmtId="0" fontId="76" fillId="0" borderId="121" xfId="136" applyFont="1" applyBorder="1" applyAlignment="1">
      <alignment horizontal="center" vertical="center" shrinkToFit="1"/>
    </xf>
    <xf numFmtId="0" fontId="76" fillId="0" borderId="124" xfId="136" applyFont="1" applyBorder="1" applyAlignment="1">
      <alignment horizontal="center" vertical="center" shrinkToFit="1"/>
    </xf>
    <xf numFmtId="0" fontId="75" fillId="0" borderId="123" xfId="136" applyFont="1" applyBorder="1" applyAlignment="1">
      <alignment horizontal="center" vertical="center" wrapText="1"/>
    </xf>
    <xf numFmtId="0" fontId="78" fillId="0" borderId="120" xfId="136" applyFont="1" applyBorder="1" applyAlignment="1">
      <alignment horizontal="center" vertical="center"/>
    </xf>
    <xf numFmtId="0" fontId="75" fillId="0" borderId="19" xfId="136" applyFont="1" applyBorder="1" applyAlignment="1">
      <alignment horizontal="center" vertical="center"/>
    </xf>
    <xf numFmtId="0" fontId="75" fillId="0" borderId="123" xfId="136" applyFont="1" applyBorder="1" applyAlignment="1">
      <alignment horizontal="center" vertical="center"/>
    </xf>
    <xf numFmtId="0" fontId="76" fillId="0" borderId="24" xfId="136" applyFont="1" applyBorder="1" applyAlignment="1">
      <alignment horizontal="center" vertical="center"/>
    </xf>
    <xf numFmtId="0" fontId="76" fillId="0" borderId="13" xfId="136" applyFont="1" applyBorder="1" applyAlignment="1">
      <alignment horizontal="center" vertical="center"/>
    </xf>
    <xf numFmtId="0" fontId="76" fillId="0" borderId="33" xfId="136" applyFont="1" applyBorder="1" applyAlignment="1">
      <alignment horizontal="center" vertical="center"/>
    </xf>
    <xf numFmtId="0" fontId="76" fillId="0" borderId="23" xfId="136" applyFont="1" applyBorder="1" applyAlignment="1">
      <alignment horizontal="center" vertical="center"/>
    </xf>
    <xf numFmtId="0" fontId="76" fillId="0" borderId="56" xfId="136" applyFont="1" applyBorder="1" applyAlignment="1">
      <alignment horizontal="center" vertical="center"/>
    </xf>
    <xf numFmtId="0" fontId="75" fillId="0" borderId="56" xfId="136" applyFont="1" applyBorder="1" applyAlignment="1">
      <alignment horizontal="center" vertical="center"/>
    </xf>
    <xf numFmtId="0" fontId="75" fillId="0" borderId="29" xfId="136" applyFont="1" applyBorder="1" applyAlignment="1">
      <alignment horizontal="center" vertical="center"/>
    </xf>
    <xf numFmtId="0" fontId="76" fillId="0" borderId="19" xfId="136" applyFont="1" applyBorder="1" applyAlignment="1">
      <alignment horizontal="center" vertical="center"/>
    </xf>
    <xf numFmtId="0" fontId="76" fillId="0" borderId="28" xfId="136" applyFont="1" applyBorder="1" applyAlignment="1">
      <alignment horizontal="center" vertical="center"/>
    </xf>
    <xf numFmtId="0" fontId="76" fillId="0" borderId="55" xfId="136" applyFont="1" applyBorder="1" applyAlignment="1">
      <alignment horizontal="center" vertical="center" shrinkToFit="1"/>
    </xf>
    <xf numFmtId="0" fontId="76" fillId="0" borderId="14" xfId="136" applyFont="1" applyBorder="1" applyAlignment="1">
      <alignment horizontal="center" vertical="center" shrinkToFit="1"/>
    </xf>
    <xf numFmtId="0" fontId="76" fillId="0" borderId="38" xfId="136" applyFont="1" applyBorder="1" applyAlignment="1">
      <alignment horizontal="center" vertical="center" shrinkToFit="1"/>
    </xf>
    <xf numFmtId="0" fontId="77" fillId="0" borderId="13" xfId="137" applyFont="1" applyBorder="1" applyAlignment="1">
      <alignment horizontal="left" vertical="center" wrapText="1"/>
    </xf>
    <xf numFmtId="0" fontId="75" fillId="0" borderId="54" xfId="136" applyFont="1" applyBorder="1" applyAlignment="1">
      <alignment horizontal="center" vertical="center" wrapText="1"/>
    </xf>
    <xf numFmtId="0" fontId="78" fillId="0" borderId="48" xfId="136" applyFont="1" applyBorder="1" applyAlignment="1">
      <alignment horizontal="center" vertical="center" wrapText="1"/>
    </xf>
    <xf numFmtId="0" fontId="75" fillId="0" borderId="18" xfId="136" applyFont="1" applyBorder="1" applyAlignment="1">
      <alignment horizontal="center" vertical="center" wrapText="1"/>
    </xf>
    <xf numFmtId="0" fontId="78" fillId="0" borderId="6" xfId="136" applyFont="1" applyBorder="1" applyAlignment="1">
      <alignment horizontal="center" vertical="center"/>
    </xf>
    <xf numFmtId="0" fontId="76" fillId="0" borderId="119" xfId="136" applyFont="1" applyBorder="1" applyAlignment="1">
      <alignment horizontal="center" vertical="center"/>
    </xf>
    <xf numFmtId="0" fontId="76" fillId="0" borderId="118" xfId="136" applyFont="1" applyBorder="1" applyAlignment="1">
      <alignment horizontal="center" vertical="center"/>
    </xf>
    <xf numFmtId="0" fontId="75" fillId="0" borderId="23" xfId="136" applyFont="1" applyBorder="1" applyAlignment="1">
      <alignment horizontal="center" vertical="center" wrapText="1"/>
    </xf>
    <xf numFmtId="0" fontId="78" fillId="0" borderId="52" xfId="136" applyFont="1" applyBorder="1" applyAlignment="1">
      <alignment horizontal="center" vertical="center" wrapText="1"/>
    </xf>
    <xf numFmtId="0" fontId="75" fillId="0" borderId="28" xfId="136" applyFont="1" applyBorder="1" applyAlignment="1">
      <alignment horizontal="center" vertical="center"/>
    </xf>
    <xf numFmtId="0" fontId="76" fillId="0" borderId="119" xfId="136" applyFont="1" applyBorder="1" applyAlignment="1">
      <alignment horizontal="center" vertical="center" shrinkToFit="1"/>
    </xf>
    <xf numFmtId="0" fontId="76" fillId="0" borderId="7" xfId="136" applyFont="1" applyBorder="1" applyAlignment="1">
      <alignment horizontal="center" vertical="center" shrinkToFit="1"/>
    </xf>
    <xf numFmtId="0" fontId="76" fillId="0" borderId="118" xfId="136" applyFont="1" applyBorder="1" applyAlignment="1">
      <alignment horizontal="center" vertical="center" shrinkToFit="1"/>
    </xf>
    <xf numFmtId="0" fontId="12" fillId="0" borderId="25" xfId="0" applyFont="1" applyBorder="1" applyAlignment="1">
      <alignment horizontal="center" vertical="center" wrapText="1"/>
    </xf>
    <xf numFmtId="0" fontId="5" fillId="0" borderId="4" xfId="0" applyFont="1" applyBorder="1">
      <alignment vertical="center"/>
    </xf>
    <xf numFmtId="0" fontId="5" fillId="0" borderId="6" xfId="0" applyFont="1" applyBorder="1">
      <alignment vertical="center"/>
    </xf>
    <xf numFmtId="0" fontId="79" fillId="0" borderId="26" xfId="0" applyFont="1" applyBorder="1" applyAlignment="1">
      <alignment horizontal="center" vertical="center" wrapText="1"/>
    </xf>
    <xf numFmtId="0" fontId="81" fillId="0" borderId="160" xfId="0" applyFont="1" applyBorder="1">
      <alignment vertical="center"/>
    </xf>
    <xf numFmtId="0" fontId="81" fillId="0" borderId="52" xfId="0" applyFont="1" applyBorder="1">
      <alignment vertical="center"/>
    </xf>
    <xf numFmtId="0" fontId="12" fillId="0" borderId="12" xfId="0" applyFont="1" applyBorder="1" applyAlignment="1">
      <alignment horizontal="center" vertical="center" wrapText="1"/>
    </xf>
    <xf numFmtId="0" fontId="5" fillId="0" borderId="159" xfId="0" applyFont="1" applyBorder="1">
      <alignment vertical="center"/>
    </xf>
    <xf numFmtId="0" fontId="5" fillId="0" borderId="11" xfId="0" applyFont="1" applyBorder="1">
      <alignment vertical="center"/>
    </xf>
    <xf numFmtId="0" fontId="40" fillId="0" borderId="13" xfId="0" applyFont="1" applyBorder="1" applyAlignment="1">
      <alignment horizontal="center" vertical="center"/>
    </xf>
    <xf numFmtId="0" fontId="76" fillId="0" borderId="24" xfId="0" applyFont="1" applyBorder="1" applyAlignment="1">
      <alignment horizontal="center" vertical="center" shrinkToFit="1"/>
    </xf>
    <xf numFmtId="0" fontId="76" fillId="0" borderId="8" xfId="0" applyFont="1" applyBorder="1" applyAlignment="1">
      <alignment horizontal="center" vertical="center" shrinkToFit="1"/>
    </xf>
    <xf numFmtId="0" fontId="79" fillId="0" borderId="18" xfId="0" applyFont="1" applyBorder="1" applyAlignment="1">
      <alignment horizontal="left" vertical="center" wrapText="1"/>
    </xf>
    <xf numFmtId="0" fontId="81" fillId="0" borderId="6" xfId="0" applyFont="1" applyBorder="1" applyAlignment="1">
      <alignment horizontal="left" vertical="center"/>
    </xf>
    <xf numFmtId="0" fontId="76" fillId="0" borderId="18" xfId="0" applyFont="1" applyBorder="1" applyAlignment="1">
      <alignment horizontal="center" vertical="center" shrinkToFit="1"/>
    </xf>
    <xf numFmtId="0" fontId="40" fillId="0" borderId="6" xfId="0" applyFont="1" applyBorder="1" applyAlignment="1">
      <alignment horizontal="center" vertical="center" shrinkToFit="1"/>
    </xf>
    <xf numFmtId="0" fontId="94" fillId="0" borderId="0" xfId="0" applyFont="1">
      <alignment vertical="center"/>
    </xf>
    <xf numFmtId="0" fontId="95" fillId="0" borderId="0" xfId="0" applyFont="1">
      <alignment vertical="center"/>
    </xf>
    <xf numFmtId="0" fontId="13" fillId="0" borderId="0" xfId="0" applyFont="1">
      <alignment vertical="center"/>
    </xf>
    <xf numFmtId="0" fontId="14" fillId="0" borderId="0" xfId="0" applyFont="1">
      <alignment vertical="center"/>
    </xf>
    <xf numFmtId="0" fontId="12" fillId="0" borderId="19" xfId="0" applyFont="1" applyBorder="1" applyAlignment="1">
      <alignment horizontal="center" vertical="center" wrapText="1"/>
    </xf>
    <xf numFmtId="0" fontId="5" fillId="0" borderId="11" xfId="0" applyFont="1" applyBorder="1" applyAlignment="1">
      <alignment horizontal="center" vertical="center"/>
    </xf>
    <xf numFmtId="0" fontId="12" fillId="0" borderId="23" xfId="0" applyFont="1" applyBorder="1" applyAlignment="1">
      <alignment horizontal="center" vertical="center" wrapText="1"/>
    </xf>
    <xf numFmtId="0" fontId="5" fillId="0" borderId="52" xfId="0" applyFont="1" applyBorder="1" applyAlignment="1">
      <alignment horizontal="center" vertical="center"/>
    </xf>
    <xf numFmtId="0" fontId="76" fillId="0" borderId="60" xfId="0" applyFont="1" applyBorder="1" applyAlignment="1">
      <alignment horizontal="center" vertical="center" shrinkToFit="1"/>
    </xf>
    <xf numFmtId="0" fontId="76" fillId="0" borderId="47" xfId="0" applyFont="1" applyBorder="1" applyAlignment="1">
      <alignment horizontal="center" vertical="center" shrinkToFit="1"/>
    </xf>
    <xf numFmtId="0" fontId="40" fillId="0" borderId="48" xfId="0" applyFont="1" applyBorder="1" applyAlignment="1">
      <alignment horizontal="center" vertical="center" shrinkToFit="1"/>
    </xf>
    <xf numFmtId="0" fontId="12" fillId="0" borderId="26" xfId="0" applyFont="1" applyBorder="1" applyAlignment="1">
      <alignment horizontal="center" vertical="center" wrapText="1"/>
    </xf>
    <xf numFmtId="0" fontId="12" fillId="0" borderId="160"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47" xfId="0" applyFont="1" applyBorder="1" applyAlignment="1">
      <alignment horizontal="center" vertical="center"/>
    </xf>
    <xf numFmtId="0" fontId="0" fillId="0" borderId="48" xfId="0" applyBorder="1" applyAlignment="1">
      <alignment horizontal="center" vertical="center"/>
    </xf>
    <xf numFmtId="0" fontId="40" fillId="0" borderId="17" xfId="0" applyFont="1" applyBorder="1" applyAlignment="1">
      <alignment horizontal="center" vertical="center" wrapText="1"/>
    </xf>
    <xf numFmtId="0" fontId="40" fillId="0" borderId="159" xfId="0" applyFont="1" applyBorder="1" applyAlignment="1">
      <alignment horizontal="center" vertical="center" wrapText="1"/>
    </xf>
    <xf numFmtId="0" fontId="40" fillId="0" borderId="53"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20" xfId="0" applyFont="1" applyBorder="1" applyAlignment="1">
      <alignment horizontal="center" vertical="center" wrapText="1"/>
    </xf>
    <xf numFmtId="0" fontId="76" fillId="0" borderId="33" xfId="0" applyFont="1" applyBorder="1" applyAlignment="1">
      <alignment horizontal="center" vertical="center" shrinkToFit="1"/>
    </xf>
    <xf numFmtId="0" fontId="40" fillId="0" borderId="51" xfId="0" applyFont="1" applyBorder="1" applyAlignment="1">
      <alignment horizontal="center" vertical="center" shrinkToFit="1"/>
    </xf>
    <xf numFmtId="0" fontId="40" fillId="0" borderId="38" xfId="0" applyFont="1" applyBorder="1" applyAlignment="1">
      <alignment horizontal="center" vertical="center" shrinkToFit="1"/>
    </xf>
    <xf numFmtId="0" fontId="76" fillId="0" borderId="25" xfId="0" applyFont="1" applyBorder="1" applyAlignment="1">
      <alignment horizontal="center" vertical="center" shrinkToFit="1"/>
    </xf>
    <xf numFmtId="0" fontId="76" fillId="0" borderId="4" xfId="0" applyFont="1" applyBorder="1" applyAlignment="1">
      <alignment horizontal="center" vertical="center" shrinkToFit="1"/>
    </xf>
    <xf numFmtId="0" fontId="9" fillId="0" borderId="19" xfId="0" applyFont="1" applyBorder="1" applyAlignment="1">
      <alignment horizontal="center" vertical="center" shrinkToFit="1"/>
    </xf>
    <xf numFmtId="0" fontId="0" fillId="0" borderId="11" xfId="0" applyBorder="1" applyAlignment="1">
      <alignment horizontal="center" vertical="center" shrinkToFit="1"/>
    </xf>
    <xf numFmtId="0" fontId="9" fillId="0" borderId="12" xfId="0" applyFont="1" applyBorder="1" applyAlignment="1">
      <alignment horizontal="center" vertical="center" shrinkToFit="1"/>
    </xf>
    <xf numFmtId="0" fontId="9" fillId="0" borderId="17" xfId="0" applyFont="1" applyBorder="1" applyAlignment="1">
      <alignment horizontal="center" vertical="center" shrinkToFit="1"/>
    </xf>
    <xf numFmtId="0" fontId="76" fillId="0" borderId="19" xfId="0" applyFont="1" applyBorder="1" applyAlignment="1">
      <alignment horizontal="center" vertical="center" shrinkToFit="1"/>
    </xf>
    <xf numFmtId="0" fontId="76" fillId="0" borderId="11" xfId="0" applyFont="1" applyBorder="1" applyAlignment="1">
      <alignment horizontal="center" vertical="center" shrinkToFit="1"/>
    </xf>
    <xf numFmtId="0" fontId="76" fillId="0" borderId="125" xfId="0" applyFont="1" applyBorder="1" applyAlignment="1">
      <alignment horizontal="center" vertical="center" shrinkToFit="1"/>
    </xf>
    <xf numFmtId="0" fontId="76" fillId="0" borderId="117" xfId="0" applyFont="1" applyBorder="1" applyAlignment="1">
      <alignment horizontal="center" vertical="center" shrinkToFit="1"/>
    </xf>
    <xf numFmtId="0" fontId="79" fillId="0" borderId="18" xfId="0" applyFont="1" applyBorder="1" applyAlignment="1">
      <alignment horizontal="center" vertical="center" wrapText="1"/>
    </xf>
    <xf numFmtId="0" fontId="81" fillId="0" borderId="6" xfId="0" applyFont="1" applyBorder="1" applyAlignment="1">
      <alignment horizontal="center" vertical="center"/>
    </xf>
    <xf numFmtId="0" fontId="76" fillId="0" borderId="6" xfId="0" applyFont="1" applyBorder="1" applyAlignment="1">
      <alignment horizontal="center" vertical="center" shrinkToFit="1"/>
    </xf>
    <xf numFmtId="0" fontId="77" fillId="0" borderId="47" xfId="0" applyFont="1" applyBorder="1" applyAlignment="1">
      <alignment horizontal="center" vertical="center" wrapText="1"/>
    </xf>
    <xf numFmtId="0" fontId="81" fillId="0" borderId="48" xfId="0" applyFont="1" applyBorder="1" applyAlignment="1">
      <alignment horizontal="center" vertical="center"/>
    </xf>
    <xf numFmtId="0" fontId="16" fillId="0" borderId="0" xfId="0" applyFont="1">
      <alignment vertical="center"/>
    </xf>
    <xf numFmtId="181" fontId="16" fillId="0" borderId="0" xfId="0" applyNumberFormat="1" applyFont="1" applyAlignment="1">
      <alignment horizontal="left" vertical="center" wrapText="1" shrinkToFit="1"/>
    </xf>
    <xf numFmtId="0" fontId="16" fillId="0" borderId="0" xfId="0" applyFont="1" applyAlignment="1">
      <alignment horizontal="left" vertical="center" shrinkToFit="1"/>
    </xf>
    <xf numFmtId="0" fontId="16" fillId="0" borderId="13" xfId="0" applyFont="1" applyBorder="1" applyAlignment="1">
      <alignment horizontal="left" vertical="center" wrapText="1"/>
    </xf>
    <xf numFmtId="0" fontId="6" fillId="0" borderId="23" xfId="0" applyFont="1" applyBorder="1" applyAlignment="1">
      <alignment horizontal="center" vertical="center" shrinkToFit="1"/>
    </xf>
    <xf numFmtId="0" fontId="0" fillId="0" borderId="52" xfId="0" applyBorder="1" applyAlignment="1">
      <alignment horizontal="center" vertical="center" shrinkToFit="1"/>
    </xf>
    <xf numFmtId="0" fontId="77" fillId="0" borderId="19" xfId="0" applyFont="1" applyBorder="1" applyAlignment="1">
      <alignment horizontal="center" vertical="center" shrinkToFit="1"/>
    </xf>
    <xf numFmtId="0" fontId="77" fillId="0" borderId="28" xfId="0" applyFont="1" applyBorder="1" applyAlignment="1">
      <alignment horizontal="center" vertical="center" shrinkToFit="1"/>
    </xf>
    <xf numFmtId="0" fontId="40" fillId="0" borderId="159" xfId="0" applyFont="1" applyBorder="1" applyAlignment="1">
      <alignment horizontal="center" vertical="center" shrinkToFit="1"/>
    </xf>
    <xf numFmtId="0" fontId="0" fillId="0" borderId="16" xfId="0" applyBorder="1">
      <alignment vertical="center"/>
    </xf>
    <xf numFmtId="0" fontId="9" fillId="0" borderId="126" xfId="0" applyFont="1" applyBorder="1" applyAlignment="1">
      <alignment horizontal="center" vertical="center" shrinkToFit="1"/>
    </xf>
    <xf numFmtId="0" fontId="9" fillId="0" borderId="9" xfId="0" applyFont="1" applyBorder="1" applyAlignment="1">
      <alignment horizontal="center" vertical="center" shrinkToFit="1"/>
    </xf>
    <xf numFmtId="0" fontId="0" fillId="0" borderId="9" xfId="0" applyBorder="1" applyAlignment="1">
      <alignment horizontal="center" vertical="center" shrinkToFit="1"/>
    </xf>
    <xf numFmtId="0" fontId="9" fillId="0" borderId="119"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3" fillId="0" borderId="16" xfId="0" applyFont="1" applyBorder="1">
      <alignment vertical="center"/>
    </xf>
    <xf numFmtId="0" fontId="9" fillId="0" borderId="27"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127" xfId="0" applyFont="1" applyBorder="1" applyAlignment="1">
      <alignment horizontal="center" vertical="center" shrinkToFit="1"/>
    </xf>
    <xf numFmtId="0" fontId="0" fillId="0" borderId="126" xfId="0" applyBorder="1" applyAlignment="1">
      <alignment horizontal="center" vertical="center" shrinkToFit="1"/>
    </xf>
    <xf numFmtId="0" fontId="0" fillId="0" borderId="10" xfId="0" applyBorder="1" applyAlignment="1">
      <alignment horizontal="center" vertical="center" shrinkToFit="1"/>
    </xf>
    <xf numFmtId="0" fontId="9" fillId="0" borderId="118" xfId="0" applyFont="1" applyBorder="1" applyAlignment="1">
      <alignment horizontal="center" vertical="center" shrinkToFit="1"/>
    </xf>
    <xf numFmtId="0" fontId="9" fillId="0" borderId="117" xfId="0" applyFont="1" applyBorder="1" applyAlignment="1">
      <alignment horizontal="center" vertical="center"/>
    </xf>
    <xf numFmtId="0" fontId="9" fillId="0" borderId="118" xfId="0" applyFont="1" applyBorder="1" applyAlignment="1">
      <alignment horizontal="center" vertical="center"/>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128" xfId="0" applyFont="1" applyBorder="1" applyAlignment="1">
      <alignment horizontal="center" vertical="center"/>
    </xf>
    <xf numFmtId="0" fontId="9" fillId="0" borderId="119" xfId="0" applyFont="1" applyBorder="1" applyAlignment="1">
      <alignment horizontal="center" vertical="center"/>
    </xf>
    <xf numFmtId="0" fontId="9" fillId="0" borderId="18" xfId="0" applyFont="1"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6" fillId="0" borderId="18" xfId="0" applyFont="1" applyBorder="1" applyAlignment="1">
      <alignment horizontal="center" vertical="center" shrinkToFit="1"/>
    </xf>
    <xf numFmtId="0" fontId="6" fillId="0" borderId="54" xfId="0" applyFont="1" applyBorder="1" applyAlignment="1">
      <alignment horizontal="center" vertical="center" shrinkToFit="1"/>
    </xf>
    <xf numFmtId="0" fontId="0" fillId="0" borderId="48" xfId="0" applyBorder="1" applyAlignment="1">
      <alignment horizontal="center" vertical="center" shrinkToFit="1"/>
    </xf>
    <xf numFmtId="0" fontId="9" fillId="0" borderId="23" xfId="0" applyFont="1" applyBorder="1" applyAlignment="1">
      <alignment horizontal="center" vertical="center" shrinkToFit="1"/>
    </xf>
    <xf numFmtId="0" fontId="0" fillId="0" borderId="52" xfId="0" applyBorder="1">
      <alignment vertical="center"/>
    </xf>
    <xf numFmtId="0" fontId="6" fillId="0" borderId="56" xfId="0" applyFont="1" applyBorder="1" applyAlignment="1">
      <alignment horizontal="center" vertical="center" shrinkToFit="1"/>
    </xf>
    <xf numFmtId="0" fontId="0" fillId="0" borderId="55" xfId="0" applyBorder="1" applyAlignment="1">
      <alignment vertical="center" shrinkToFit="1"/>
    </xf>
    <xf numFmtId="0" fontId="0" fillId="0" borderId="6" xfId="0" applyBorder="1" applyAlignment="1">
      <alignment vertical="center" shrinkToFit="1"/>
    </xf>
    <xf numFmtId="0" fontId="6" fillId="0" borderId="19" xfId="0" applyFont="1" applyBorder="1" applyAlignment="1">
      <alignment horizontal="center" vertical="center" shrinkToFit="1"/>
    </xf>
    <xf numFmtId="0" fontId="0" fillId="0" borderId="11" xfId="0" applyBorder="1" applyAlignment="1">
      <alignment vertical="center" shrinkToFit="1"/>
    </xf>
    <xf numFmtId="0" fontId="6" fillId="0" borderId="52" xfId="0" applyFont="1" applyBorder="1" applyAlignment="1">
      <alignment horizontal="center" vertical="center" shrinkToFit="1"/>
    </xf>
    <xf numFmtId="0" fontId="9" fillId="0" borderId="117" xfId="0" applyFont="1" applyBorder="1" applyAlignment="1">
      <alignment horizontal="center" vertical="center" shrinkToFit="1"/>
    </xf>
    <xf numFmtId="0" fontId="0" fillId="0" borderId="52" xfId="0" applyBorder="1" applyAlignment="1">
      <alignment vertical="center" shrinkToFit="1"/>
    </xf>
    <xf numFmtId="0" fontId="9" fillId="0" borderId="56" xfId="0" applyFont="1" applyBorder="1" applyAlignment="1">
      <alignment horizontal="center" vertical="center" shrinkToFit="1"/>
    </xf>
    <xf numFmtId="0" fontId="0" fillId="0" borderId="55" xfId="0" applyBorder="1" applyAlignment="1">
      <alignment horizontal="center" vertical="center" shrinkToFit="1"/>
    </xf>
    <xf numFmtId="0" fontId="18" fillId="0" borderId="0" xfId="0" applyFont="1" applyAlignment="1">
      <alignment horizontal="left" vertical="top" wrapText="1"/>
    </xf>
    <xf numFmtId="0" fontId="18" fillId="0" borderId="0" xfId="0" applyFont="1" applyAlignment="1">
      <alignment horizontal="left" vertical="center" wrapText="1"/>
    </xf>
    <xf numFmtId="0" fontId="17" fillId="0" borderId="0" xfId="0" applyFont="1" applyAlignment="1">
      <alignment horizontal="left" vertical="center"/>
    </xf>
    <xf numFmtId="0" fontId="0" fillId="0" borderId="0" xfId="0" applyAlignment="1">
      <alignment horizontal="left" vertical="center"/>
    </xf>
    <xf numFmtId="0" fontId="79" fillId="0" borderId="160" xfId="0" applyFont="1" applyBorder="1" applyAlignment="1">
      <alignment horizontal="center" vertical="center" wrapText="1"/>
    </xf>
    <xf numFmtId="0" fontId="79" fillId="0" borderId="52" xfId="0" applyFont="1" applyBorder="1" applyAlignment="1">
      <alignment horizontal="center" vertical="center" wrapText="1"/>
    </xf>
    <xf numFmtId="0" fontId="9" fillId="0" borderId="48" xfId="0" applyFont="1" applyBorder="1" applyAlignment="1">
      <alignment horizontal="center" vertical="center"/>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8"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79" fillId="0" borderId="4" xfId="0" applyFont="1" applyBorder="1" applyAlignment="1">
      <alignment horizontal="center" vertical="center" wrapText="1"/>
    </xf>
    <xf numFmtId="0" fontId="79" fillId="0" borderId="19" xfId="0" applyFont="1" applyBorder="1" applyAlignment="1">
      <alignment horizontal="center" vertical="center" wrapText="1"/>
    </xf>
    <xf numFmtId="0" fontId="79" fillId="0" borderId="159" xfId="0" applyFont="1" applyBorder="1" applyAlignment="1">
      <alignment horizontal="center" vertical="center" wrapText="1"/>
    </xf>
    <xf numFmtId="0" fontId="79" fillId="0" borderId="11" xfId="0" applyFont="1" applyBorder="1" applyAlignment="1">
      <alignment horizontal="center" vertical="center" wrapText="1"/>
    </xf>
    <xf numFmtId="0" fontId="12" fillId="0" borderId="15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52" xfId="0" applyFont="1" applyBorder="1" applyAlignment="1">
      <alignment horizontal="center" vertical="center" wrapText="1"/>
    </xf>
    <xf numFmtId="0" fontId="9" fillId="0" borderId="19" xfId="0" applyFont="1" applyBorder="1" applyAlignment="1">
      <alignment horizontal="center" vertical="center"/>
    </xf>
    <xf numFmtId="0" fontId="9" fillId="0" borderId="159" xfId="0" applyFont="1" applyBorder="1" applyAlignment="1">
      <alignment horizontal="center" vertical="center"/>
    </xf>
    <xf numFmtId="0" fontId="9" fillId="0" borderId="11" xfId="0" applyFont="1" applyBorder="1" applyAlignment="1">
      <alignment horizontal="center" vertical="center"/>
    </xf>
    <xf numFmtId="0" fontId="9" fillId="0" borderId="4" xfId="0" applyFont="1" applyBorder="1" applyAlignment="1">
      <alignment horizontal="center" vertical="center" shrinkToFit="1"/>
    </xf>
    <xf numFmtId="0" fontId="9" fillId="0" borderId="6" xfId="0" applyFont="1" applyBorder="1" applyAlignment="1">
      <alignment horizontal="center" vertical="center" shrinkToFit="1"/>
    </xf>
    <xf numFmtId="0" fontId="0" fillId="0" borderId="118" xfId="0" applyBorder="1" applyAlignment="1">
      <alignment horizontal="center" vertical="center"/>
    </xf>
    <xf numFmtId="0" fontId="9" fillId="0" borderId="28" xfId="0" applyFont="1" applyBorder="1" applyAlignment="1">
      <alignment horizontal="center" vertical="center" shrinkToFit="1"/>
    </xf>
    <xf numFmtId="0" fontId="9" fillId="0" borderId="51" xfId="0" applyFont="1" applyBorder="1" applyAlignment="1">
      <alignment horizontal="center" vertical="center" shrinkToFit="1"/>
    </xf>
    <xf numFmtId="0" fontId="9" fillId="0" borderId="38" xfId="0" applyFont="1" applyBorder="1" applyAlignment="1">
      <alignment horizontal="center" vertical="center" shrinkToFit="1"/>
    </xf>
    <xf numFmtId="0" fontId="9" fillId="0" borderId="54" xfId="0" applyFont="1" applyBorder="1" applyAlignment="1">
      <alignment horizontal="center" vertical="center" shrinkToFit="1"/>
    </xf>
    <xf numFmtId="0" fontId="9" fillId="0" borderId="47" xfId="0" applyFont="1" applyBorder="1" applyAlignment="1">
      <alignment horizontal="center" vertical="center" shrinkToFit="1"/>
    </xf>
    <xf numFmtId="0" fontId="9" fillId="0" borderId="48" xfId="0" applyFont="1" applyBorder="1" applyAlignment="1">
      <alignment horizontal="center" vertical="center" shrinkToFit="1"/>
    </xf>
    <xf numFmtId="0" fontId="9" fillId="0" borderId="13" xfId="0" applyFont="1" applyBorder="1" applyAlignment="1">
      <alignment horizontal="center" vertical="center"/>
    </xf>
    <xf numFmtId="0" fontId="9" fillId="0" borderId="3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xf>
    <xf numFmtId="0" fontId="9" fillId="0" borderId="28"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38" xfId="0" applyFont="1" applyBorder="1" applyAlignment="1">
      <alignment horizontal="center" vertical="center"/>
    </xf>
    <xf numFmtId="0" fontId="6" fillId="0" borderId="23" xfId="0" applyFont="1" applyBorder="1" applyAlignment="1">
      <alignment horizontal="center" vertical="center" wrapText="1"/>
    </xf>
    <xf numFmtId="0" fontId="6" fillId="0" borderId="160"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4"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119" xfId="0" applyFont="1" applyBorder="1" applyAlignment="1">
      <alignment horizontal="center" vertical="center" wrapText="1"/>
    </xf>
    <xf numFmtId="0" fontId="6" fillId="0" borderId="118" xfId="0" applyFont="1" applyBorder="1" applyAlignment="1">
      <alignment horizontal="center" vertical="center" wrapText="1"/>
    </xf>
    <xf numFmtId="0" fontId="0" fillId="0" borderId="123" xfId="0" applyBorder="1" applyAlignment="1">
      <alignment horizontal="center" vertical="center" shrinkToFit="1"/>
    </xf>
    <xf numFmtId="0" fontId="0" fillId="0" borderId="159" xfId="0" applyBorder="1" applyAlignment="1">
      <alignment horizontal="center" vertical="center" shrinkToFit="1"/>
    </xf>
    <xf numFmtId="0" fontId="0" fillId="0" borderId="53" xfId="0" applyBorder="1" applyAlignment="1">
      <alignment horizontal="center" vertical="center" shrinkToFit="1"/>
    </xf>
    <xf numFmtId="0" fontId="0" fillId="0" borderId="120" xfId="0" applyBorder="1" applyAlignment="1">
      <alignment horizontal="center" vertical="center" shrinkToFit="1"/>
    </xf>
    <xf numFmtId="0" fontId="9" fillId="0" borderId="29" xfId="0" applyFont="1" applyBorder="1" applyAlignment="1">
      <alignment horizontal="center" vertical="center" shrinkToFit="1"/>
    </xf>
    <xf numFmtId="0" fontId="0" fillId="0" borderId="14" xfId="0" applyBorder="1" applyAlignment="1">
      <alignment horizontal="center" vertical="center" shrinkToFit="1"/>
    </xf>
    <xf numFmtId="0" fontId="0" fillId="0" borderId="38" xfId="0" applyBorder="1" applyAlignment="1">
      <alignment horizontal="center" vertical="center" shrinkToFit="1"/>
    </xf>
    <xf numFmtId="0" fontId="9" fillId="0" borderId="123" xfId="0" applyFont="1" applyBorder="1" applyAlignment="1">
      <alignment horizontal="center" vertical="center" shrinkToFit="1"/>
    </xf>
    <xf numFmtId="0" fontId="9" fillId="0" borderId="12" xfId="0" applyFont="1" applyBorder="1" applyAlignment="1">
      <alignment horizontal="center" vertical="center"/>
    </xf>
    <xf numFmtId="0" fontId="9" fillId="0" borderId="51" xfId="0" applyFont="1" applyBorder="1" applyAlignment="1">
      <alignment horizontal="center" vertical="center"/>
    </xf>
    <xf numFmtId="0" fontId="0" fillId="0" borderId="159" xfId="0" applyBorder="1" applyAlignment="1">
      <alignment horizontal="center" vertical="center"/>
    </xf>
    <xf numFmtId="0" fontId="0" fillId="0" borderId="51" xfId="0" applyBorder="1" applyAlignment="1">
      <alignment horizontal="center" vertical="center"/>
    </xf>
    <xf numFmtId="0" fontId="9" fillId="0" borderId="24" xfId="0" applyFont="1" applyBorder="1" applyAlignment="1">
      <alignment horizontal="center" vertical="center"/>
    </xf>
    <xf numFmtId="0" fontId="0" fillId="0" borderId="28" xfId="0" applyBorder="1" applyAlignment="1">
      <alignment horizontal="center" vertical="center" shrinkToFit="1"/>
    </xf>
    <xf numFmtId="0" fontId="0" fillId="0" borderId="51" xfId="0" applyBorder="1" applyAlignment="1">
      <alignment horizontal="center" vertical="center" shrinkToFit="1"/>
    </xf>
    <xf numFmtId="0" fontId="0" fillId="0" borderId="6" xfId="0" applyBorder="1" applyAlignment="1">
      <alignment horizontal="center" vertical="center"/>
    </xf>
    <xf numFmtId="0" fontId="77" fillId="0" borderId="18" xfId="0" applyFont="1" applyBorder="1" applyAlignment="1">
      <alignment horizontal="center" vertical="center" wrapText="1"/>
    </xf>
    <xf numFmtId="0" fontId="77" fillId="0" borderId="4" xfId="0" applyFont="1" applyBorder="1" applyAlignment="1">
      <alignment horizontal="center" vertical="center" wrapText="1"/>
    </xf>
    <xf numFmtId="0" fontId="82" fillId="0" borderId="6" xfId="0" applyFont="1" applyBorder="1" applyAlignment="1">
      <alignment horizontal="center" vertical="center"/>
    </xf>
    <xf numFmtId="0" fontId="77" fillId="0" borderId="123" xfId="0" applyFont="1" applyBorder="1" applyAlignment="1">
      <alignment horizontal="center" vertical="center" wrapText="1"/>
    </xf>
    <xf numFmtId="0" fontId="77" fillId="0" borderId="53" xfId="0" applyFont="1" applyBorder="1" applyAlignment="1">
      <alignment horizontal="center" vertical="center" wrapText="1"/>
    </xf>
    <xf numFmtId="0" fontId="82" fillId="0" borderId="120" xfId="0" applyFont="1" applyBorder="1" applyAlignment="1">
      <alignment horizontal="center" vertical="center"/>
    </xf>
    <xf numFmtId="0" fontId="9" fillId="0" borderId="160" xfId="0" applyFont="1" applyBorder="1" applyAlignment="1">
      <alignment horizontal="center" vertical="center" shrinkToFit="1"/>
    </xf>
    <xf numFmtId="0" fontId="9" fillId="0" borderId="52" xfId="0" applyFont="1" applyBorder="1" applyAlignment="1">
      <alignment horizontal="center" vertical="center" shrinkToFit="1"/>
    </xf>
    <xf numFmtId="0" fontId="9" fillId="0" borderId="25" xfId="0" applyFont="1" applyBorder="1" applyAlignment="1">
      <alignment horizontal="center" vertical="center" wrapText="1"/>
    </xf>
    <xf numFmtId="0" fontId="17" fillId="0" borderId="0" xfId="0" applyFont="1" applyAlignment="1">
      <alignment horizontal="center" vertical="center"/>
    </xf>
    <xf numFmtId="0" fontId="0" fillId="0" borderId="55" xfId="0" applyBorder="1">
      <alignment vertical="center"/>
    </xf>
    <xf numFmtId="0" fontId="0" fillId="0" borderId="6" xfId="0" applyBorder="1">
      <alignment vertical="center"/>
    </xf>
    <xf numFmtId="0" fontId="0" fillId="0" borderId="38" xfId="0" applyBorder="1">
      <alignment vertical="center"/>
    </xf>
    <xf numFmtId="0" fontId="17" fillId="0" borderId="0" xfId="0" applyFont="1" applyAlignment="1">
      <alignment horizontal="center" vertical="center" wrapText="1"/>
    </xf>
    <xf numFmtId="0" fontId="9" fillId="2" borderId="7" xfId="0" applyFont="1" applyFill="1" applyBorder="1" applyAlignment="1">
      <alignment horizontal="center" vertical="center" shrinkToFit="1"/>
    </xf>
    <xf numFmtId="0" fontId="0" fillId="0" borderId="127" xfId="0" applyBorder="1" applyAlignment="1">
      <alignment horizontal="center" vertical="center" shrinkToFit="1"/>
    </xf>
    <xf numFmtId="0" fontId="9" fillId="0" borderId="61" xfId="0" applyFont="1" applyBorder="1" applyAlignment="1">
      <alignment horizontal="center" vertical="center" shrinkToFit="1"/>
    </xf>
    <xf numFmtId="0" fontId="0" fillId="0" borderId="61" xfId="0" applyBorder="1" applyAlignment="1">
      <alignment horizontal="center" vertical="center" shrinkToFit="1"/>
    </xf>
    <xf numFmtId="0" fontId="9" fillId="0" borderId="121" xfId="0" applyFont="1" applyBorder="1" applyAlignment="1">
      <alignment horizontal="center" vertical="center" shrinkToFit="1"/>
    </xf>
    <xf numFmtId="0" fontId="9" fillId="0" borderId="124" xfId="0" applyFont="1" applyBorder="1" applyAlignment="1">
      <alignment horizontal="center" vertical="center" shrinkToFit="1"/>
    </xf>
    <xf numFmtId="0" fontId="0" fillId="0" borderId="7" xfId="0" applyBorder="1" applyAlignment="1">
      <alignment horizontal="center" vertical="center" shrinkToFit="1"/>
    </xf>
    <xf numFmtId="0" fontId="0" fillId="0" borderId="118" xfId="0" applyBorder="1" applyAlignment="1">
      <alignment horizontal="center" vertical="center" shrinkToFit="1"/>
    </xf>
    <xf numFmtId="0" fontId="9" fillId="0" borderId="25" xfId="0" applyFont="1" applyBorder="1" applyAlignment="1">
      <alignment horizontal="center" vertical="center" shrinkToFit="1"/>
    </xf>
    <xf numFmtId="0" fontId="9" fillId="0" borderId="60" xfId="0" applyFont="1" applyBorder="1" applyAlignment="1">
      <alignment horizontal="center" vertical="center" shrinkToFit="1"/>
    </xf>
    <xf numFmtId="0" fontId="6" fillId="0" borderId="160" xfId="0" applyFont="1" applyBorder="1" applyAlignment="1">
      <alignment horizontal="center" vertical="center" wrapText="1" shrinkToFit="1"/>
    </xf>
    <xf numFmtId="0" fontId="9" fillId="0" borderId="33" xfId="0" applyFont="1" applyBorder="1" applyAlignment="1">
      <alignment horizontal="center" vertical="center" wrapText="1"/>
    </xf>
    <xf numFmtId="0" fontId="6" fillId="0" borderId="25" xfId="0" applyFont="1" applyBorder="1" applyAlignment="1">
      <alignment horizontal="center" vertical="center" wrapText="1" shrinkToFit="1"/>
    </xf>
    <xf numFmtId="0" fontId="6" fillId="0" borderId="4" xfId="0" applyFont="1" applyBorder="1" applyAlignment="1">
      <alignment horizontal="center" vertical="center" shrinkToFit="1"/>
    </xf>
    <xf numFmtId="0" fontId="6" fillId="0" borderId="6" xfId="0" applyFont="1" applyBorder="1" applyAlignment="1">
      <alignment horizontal="center" vertical="center" shrinkToFit="1"/>
    </xf>
    <xf numFmtId="0" fontId="9" fillId="0" borderId="25" xfId="0" applyFont="1" applyBorder="1" applyAlignment="1">
      <alignment horizontal="center" vertical="center"/>
    </xf>
    <xf numFmtId="0" fontId="6" fillId="0" borderId="26" xfId="0" applyFont="1" applyBorder="1" applyAlignment="1">
      <alignment horizontal="center" vertical="center" wrapText="1" shrinkToFit="1"/>
    </xf>
    <xf numFmtId="0" fontId="6" fillId="0" borderId="52"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9" fillId="0" borderId="26" xfId="0" applyFont="1" applyBorder="1" applyAlignment="1">
      <alignment horizontal="center" vertical="center" wrapText="1"/>
    </xf>
    <xf numFmtId="0" fontId="9" fillId="0" borderId="160" xfId="0" applyFont="1" applyBorder="1" applyAlignment="1">
      <alignment horizontal="center" vertical="center"/>
    </xf>
    <xf numFmtId="0" fontId="9" fillId="0" borderId="52" xfId="0" applyFont="1" applyBorder="1" applyAlignment="1">
      <alignment horizontal="center" vertical="center"/>
    </xf>
    <xf numFmtId="186" fontId="9" fillId="0" borderId="25" xfId="0" applyNumberFormat="1" applyFont="1" applyBorder="1" applyAlignment="1">
      <alignment horizontal="center" vertical="center" wrapText="1" shrinkToFit="1"/>
    </xf>
    <xf numFmtId="186" fontId="9" fillId="0" borderId="4" xfId="0" applyNumberFormat="1" applyFont="1" applyBorder="1" applyAlignment="1">
      <alignment horizontal="center" vertical="center" shrinkToFit="1"/>
    </xf>
    <xf numFmtId="186" fontId="9" fillId="0" borderId="6" xfId="0" applyNumberFormat="1" applyFont="1" applyBorder="1" applyAlignment="1">
      <alignment horizontal="center" vertical="center" shrinkToFit="1"/>
    </xf>
    <xf numFmtId="182" fontId="9" fillId="0" borderId="33" xfId="0" applyNumberFormat="1" applyFont="1" applyBorder="1" applyAlignment="1">
      <alignment horizontal="center" vertical="center" shrinkToFit="1"/>
    </xf>
    <xf numFmtId="182" fontId="9" fillId="0" borderId="25" xfId="0" applyNumberFormat="1" applyFont="1" applyBorder="1" applyAlignment="1">
      <alignment horizontal="center" vertical="center" shrinkToFit="1"/>
    </xf>
    <xf numFmtId="182" fontId="9" fillId="0" borderId="51" xfId="0" applyNumberFormat="1" applyFont="1" applyBorder="1" applyAlignment="1">
      <alignment horizontal="center" vertical="center" shrinkToFit="1"/>
    </xf>
    <xf numFmtId="182" fontId="9" fillId="0" borderId="4" xfId="0" applyNumberFormat="1" applyFont="1" applyBorder="1" applyAlignment="1">
      <alignment horizontal="center" vertical="center" shrinkToFit="1"/>
    </xf>
    <xf numFmtId="0" fontId="9" fillId="0" borderId="25" xfId="0" applyFont="1" applyBorder="1" applyAlignment="1">
      <alignment horizontal="center" vertical="center" wrapText="1" shrinkToFit="1"/>
    </xf>
    <xf numFmtId="0" fontId="9" fillId="0" borderId="26" xfId="0" applyFont="1" applyBorder="1" applyAlignment="1">
      <alignment horizontal="center" vertical="center" shrinkToFit="1"/>
    </xf>
    <xf numFmtId="0" fontId="6" fillId="0" borderId="12" xfId="0" applyFont="1" applyBorder="1" applyAlignment="1">
      <alignment horizontal="center" shrinkToFit="1"/>
    </xf>
    <xf numFmtId="0" fontId="6" fillId="0" borderId="33" xfId="0" applyFont="1" applyBorder="1" applyAlignment="1">
      <alignment horizontal="center" shrinkToFit="1"/>
    </xf>
    <xf numFmtId="0" fontId="9" fillId="0" borderId="33" xfId="0" applyFont="1" applyBorder="1" applyAlignment="1">
      <alignment horizontal="center" vertical="center" shrinkToFit="1"/>
    </xf>
    <xf numFmtId="0" fontId="9" fillId="0" borderId="159" xfId="0" applyFont="1" applyBorder="1" applyAlignment="1">
      <alignment horizontal="center" vertical="center" shrinkToFit="1"/>
    </xf>
    <xf numFmtId="0" fontId="9" fillId="0" borderId="53" xfId="0" applyFont="1" applyBorder="1" applyAlignment="1">
      <alignment horizontal="center" vertical="center" shrinkToFit="1"/>
    </xf>
    <xf numFmtId="0" fontId="9" fillId="0" borderId="60" xfId="0" applyFont="1" applyBorder="1" applyAlignment="1">
      <alignment horizontal="center" vertical="center"/>
    </xf>
    <xf numFmtId="0" fontId="9" fillId="0" borderId="129" xfId="0" applyFont="1" applyBorder="1" applyAlignment="1">
      <alignment horizontal="center" vertical="center"/>
    </xf>
    <xf numFmtId="0" fontId="9" fillId="0" borderId="74" xfId="0" applyFont="1" applyBorder="1" applyAlignment="1">
      <alignment horizontal="center" vertical="center"/>
    </xf>
    <xf numFmtId="0" fontId="9" fillId="0" borderId="156" xfId="0" applyFont="1" applyBorder="1" applyAlignment="1">
      <alignment horizontal="center" vertical="center"/>
    </xf>
    <xf numFmtId="0" fontId="9" fillId="0" borderId="26" xfId="0" applyFont="1" applyBorder="1" applyAlignment="1">
      <alignment horizontal="center" vertical="center"/>
    </xf>
    <xf numFmtId="0" fontId="9" fillId="0" borderId="58" xfId="0" applyFont="1" applyBorder="1" applyAlignment="1">
      <alignment horizontal="center" vertical="center"/>
    </xf>
    <xf numFmtId="182" fontId="23" fillId="0" borderId="0" xfId="0" applyNumberFormat="1" applyFont="1" applyAlignment="1">
      <alignment horizontal="center" vertical="center"/>
    </xf>
    <xf numFmtId="0" fontId="9" fillId="0" borderId="12" xfId="0" applyFont="1" applyBorder="1" applyAlignment="1">
      <alignment horizontal="center" shrinkToFit="1"/>
    </xf>
    <xf numFmtId="0" fontId="0" fillId="0" borderId="17" xfId="0" applyBorder="1">
      <alignment vertical="center"/>
    </xf>
    <xf numFmtId="0" fontId="9" fillId="0" borderId="159" xfId="0" applyFont="1" applyBorder="1" applyAlignment="1">
      <alignment horizontal="center" vertical="top" shrinkToFit="1"/>
    </xf>
    <xf numFmtId="0" fontId="0" fillId="0" borderId="53" xfId="0" applyBorder="1">
      <alignment vertical="center"/>
    </xf>
    <xf numFmtId="0" fontId="6" fillId="0" borderId="159" xfId="0" applyFont="1" applyBorder="1" applyAlignment="1">
      <alignment horizontal="center" vertical="top" shrinkToFit="1"/>
    </xf>
    <xf numFmtId="0" fontId="6" fillId="0" borderId="51" xfId="0" applyFont="1" applyBorder="1" applyAlignment="1">
      <alignment horizontal="center" vertical="top" shrinkToFit="1"/>
    </xf>
    <xf numFmtId="182" fontId="9" fillId="0" borderId="60" xfId="0" applyNumberFormat="1" applyFont="1" applyBorder="1" applyAlignment="1">
      <alignment horizontal="center" vertical="center" shrinkToFit="1"/>
    </xf>
    <xf numFmtId="182" fontId="9" fillId="0" borderId="47" xfId="0" applyNumberFormat="1"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33" xfId="0" applyFont="1" applyBorder="1" applyAlignment="1">
      <alignment horizontal="center" vertical="center" wrapText="1" shrinkToFit="1"/>
    </xf>
    <xf numFmtId="0" fontId="9" fillId="0" borderId="159" xfId="0" applyFont="1" applyBorder="1" applyAlignment="1">
      <alignment horizontal="center" vertical="center" wrapText="1" shrinkToFit="1"/>
    </xf>
    <xf numFmtId="0" fontId="9" fillId="0" borderId="51"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6" fillId="0" borderId="33" xfId="0" applyFont="1" applyBorder="1" applyAlignment="1">
      <alignment horizontal="center" vertical="center" wrapText="1" shrinkToFit="1"/>
    </xf>
    <xf numFmtId="0" fontId="6" fillId="0" borderId="159" xfId="0" applyFont="1" applyBorder="1" applyAlignment="1">
      <alignment horizontal="center" vertical="center" wrapText="1" shrinkToFit="1"/>
    </xf>
    <xf numFmtId="0" fontId="6" fillId="0" borderId="51" xfId="0" applyFont="1" applyBorder="1" applyAlignment="1">
      <alignment horizontal="center" vertical="center" wrapText="1" shrinkToFit="1"/>
    </xf>
    <xf numFmtId="0" fontId="9" fillId="0" borderId="130" xfId="0" applyFont="1" applyBorder="1" applyAlignment="1">
      <alignment horizontal="center" vertical="center"/>
    </xf>
    <xf numFmtId="0" fontId="9" fillId="0" borderId="17" xfId="0" applyFont="1" applyBorder="1" applyAlignment="1">
      <alignment horizontal="center" vertical="center"/>
    </xf>
    <xf numFmtId="0" fontId="9" fillId="0" borderId="22" xfId="0" applyFont="1" applyBorder="1" applyAlignment="1">
      <alignment horizontal="center" vertical="center"/>
    </xf>
    <xf numFmtId="0" fontId="9" fillId="0" borderId="53" xfId="0" applyFont="1" applyBorder="1" applyAlignment="1">
      <alignment horizontal="center" vertical="center"/>
    </xf>
    <xf numFmtId="0" fontId="9" fillId="0" borderId="0" xfId="0" applyFont="1" applyAlignment="1">
      <alignment horizontal="center" vertical="center"/>
    </xf>
    <xf numFmtId="0" fontId="9" fillId="0" borderId="15" xfId="0" applyFont="1" applyBorder="1" applyAlignment="1">
      <alignment horizontal="center" vertical="center"/>
    </xf>
    <xf numFmtId="0" fontId="9" fillId="0" borderId="28" xfId="0" applyFont="1" applyBorder="1" applyAlignment="1">
      <alignment horizontal="center" vertical="center"/>
    </xf>
    <xf numFmtId="0" fontId="9" fillId="0" borderId="5" xfId="0" applyFont="1" applyBorder="1" applyAlignment="1">
      <alignment horizontal="center" vertical="center"/>
    </xf>
    <xf numFmtId="0" fontId="9" fillId="0" borderId="123" xfId="0" applyFont="1" applyBorder="1" applyAlignment="1">
      <alignment horizontal="center" vertical="center"/>
    </xf>
    <xf numFmtId="0" fontId="0" fillId="0" borderId="53" xfId="0" applyBorder="1" applyAlignment="1">
      <alignment horizontal="center" vertical="center"/>
    </xf>
    <xf numFmtId="0" fontId="9" fillId="0" borderId="29" xfId="0" applyFont="1" applyBorder="1" applyAlignment="1">
      <alignment horizontal="center" vertical="center"/>
    </xf>
    <xf numFmtId="0" fontId="9" fillId="0" borderId="125" xfId="0" applyFont="1" applyBorder="1" applyAlignment="1">
      <alignment horizontal="center" vertical="center"/>
    </xf>
    <xf numFmtId="0" fontId="9" fillId="0" borderId="132" xfId="0" applyFont="1" applyBorder="1" applyAlignment="1">
      <alignment horizontal="center" vertical="center"/>
    </xf>
    <xf numFmtId="0" fontId="9" fillId="0" borderId="121" xfId="0" applyFont="1" applyBorder="1" applyAlignment="1">
      <alignment horizontal="center" vertical="center"/>
    </xf>
    <xf numFmtId="0" fontId="9" fillId="0" borderId="21" xfId="0" applyFont="1" applyBorder="1" applyAlignment="1">
      <alignment horizontal="center" vertical="center"/>
    </xf>
    <xf numFmtId="0" fontId="9" fillId="0" borderId="27" xfId="0" applyFont="1" applyBorder="1" applyAlignment="1">
      <alignment horizontal="center" vertical="center"/>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0" borderId="5" xfId="0" applyFont="1" applyBorder="1" applyAlignment="1">
      <alignment horizontal="center" vertical="center" wrapText="1"/>
    </xf>
    <xf numFmtId="0" fontId="9" fillId="0" borderId="131" xfId="0" applyFont="1" applyBorder="1" applyAlignment="1">
      <alignment horizontal="center" vertical="center" wrapText="1"/>
    </xf>
    <xf numFmtId="0" fontId="4" fillId="0" borderId="30" xfId="0" applyFont="1" applyBorder="1" applyAlignment="1">
      <alignment horizontal="center" vertical="center"/>
    </xf>
    <xf numFmtId="0" fontId="0" fillId="0" borderId="30" xfId="0" applyBorder="1" applyAlignment="1">
      <alignment horizontal="left" vertical="center" wrapText="1"/>
    </xf>
    <xf numFmtId="58" fontId="5" fillId="0" borderId="31" xfId="0" applyNumberFormat="1" applyFont="1" applyBorder="1" applyAlignment="1">
      <alignment horizontal="distributed" vertical="center" justifyLastLine="1"/>
    </xf>
    <xf numFmtId="0" fontId="0" fillId="0" borderId="37" xfId="0" applyBorder="1" applyAlignment="1">
      <alignment horizontal="distributed" vertical="center" justifyLastLine="1"/>
    </xf>
    <xf numFmtId="0" fontId="13" fillId="0" borderId="133" xfId="0" applyFont="1" applyBorder="1" applyAlignment="1">
      <alignment horizontal="left" vertical="center"/>
    </xf>
    <xf numFmtId="0" fontId="13" fillId="0" borderId="134" xfId="0" applyFont="1" applyBorder="1" applyAlignment="1">
      <alignment horizontal="left" vertical="center"/>
    </xf>
    <xf numFmtId="0" fontId="13" fillId="0" borderId="135" xfId="0" applyFont="1" applyBorder="1" applyAlignment="1">
      <alignment horizontal="left" vertical="center"/>
    </xf>
    <xf numFmtId="0" fontId="5" fillId="0" borderId="32" xfId="0" applyFont="1" applyBorder="1" applyAlignment="1">
      <alignment horizontal="distributed" vertical="center" justifyLastLine="1"/>
    </xf>
    <xf numFmtId="0" fontId="5" fillId="0" borderId="37" xfId="0" applyFont="1" applyBorder="1" applyAlignment="1">
      <alignment horizontal="distributed" vertical="center" justifyLastLine="1"/>
    </xf>
    <xf numFmtId="58" fontId="5" fillId="0" borderId="30" xfId="0" applyNumberFormat="1" applyFont="1" applyBorder="1" applyAlignment="1">
      <alignment horizontal="distributed" vertical="center" justifyLastLine="1"/>
    </xf>
    <xf numFmtId="0" fontId="5" fillId="0" borderId="30" xfId="0" applyFont="1" applyBorder="1" applyAlignment="1">
      <alignment horizontal="distributed" vertical="center" justifyLastLine="1"/>
    </xf>
    <xf numFmtId="58" fontId="5" fillId="0" borderId="32" xfId="0" applyNumberFormat="1" applyFont="1" applyBorder="1" applyAlignment="1">
      <alignment horizontal="distributed" vertical="center" justifyLastLine="1"/>
    </xf>
    <xf numFmtId="58" fontId="5" fillId="0" borderId="37" xfId="0" applyNumberFormat="1" applyFont="1" applyBorder="1" applyAlignment="1">
      <alignment horizontal="distributed" vertical="center" justifyLastLine="1"/>
    </xf>
  </cellXfs>
  <cellStyles count="299">
    <cellStyle name="20% - アクセント 1 2" xfId="1" xr:uid="{00000000-0005-0000-0000-000000000000}"/>
    <cellStyle name="20% - アクセント 1 2 2" xfId="152" xr:uid="{C994B66F-2B0A-499A-9BDA-665783CC0B74}"/>
    <cellStyle name="20% - アクセント 1 3" xfId="2" xr:uid="{00000000-0005-0000-0000-000001000000}"/>
    <cellStyle name="20% - アクセント 1 3 2" xfId="3" xr:uid="{00000000-0005-0000-0000-000002000000}"/>
    <cellStyle name="20% - アクセント 1 3 2 2" xfId="154" xr:uid="{922EAA46-C23C-44CB-BB27-CF574F366E6D}"/>
    <cellStyle name="20% - アクセント 1 3 3" xfId="153" xr:uid="{E7482780-C5B0-4689-AFCA-56688FAD78BB}"/>
    <cellStyle name="20% - アクセント 2 2" xfId="4" xr:uid="{00000000-0005-0000-0000-000003000000}"/>
    <cellStyle name="20% - アクセント 2 2 2" xfId="155" xr:uid="{59D9AEAE-1B0E-4324-B59F-91FCB1DDC7E9}"/>
    <cellStyle name="20% - アクセント 2 3" xfId="5" xr:uid="{00000000-0005-0000-0000-000004000000}"/>
    <cellStyle name="20% - アクセント 2 3 2" xfId="6" xr:uid="{00000000-0005-0000-0000-000005000000}"/>
    <cellStyle name="20% - アクセント 2 3 2 2" xfId="157" xr:uid="{E44E3686-136C-4F39-BDFA-536EF4D34636}"/>
    <cellStyle name="20% - アクセント 2 3 3" xfId="156" xr:uid="{B53B6253-03A8-472C-8DA6-23CD230DA349}"/>
    <cellStyle name="20% - アクセント 3 2" xfId="7" xr:uid="{00000000-0005-0000-0000-000006000000}"/>
    <cellStyle name="20% - アクセント 3 2 2" xfId="158" xr:uid="{EDC0C626-B544-46E0-8EFC-23418D51E4B7}"/>
    <cellStyle name="20% - アクセント 3 3" xfId="8" xr:uid="{00000000-0005-0000-0000-000007000000}"/>
    <cellStyle name="20% - アクセント 3 3 2" xfId="9" xr:uid="{00000000-0005-0000-0000-000008000000}"/>
    <cellStyle name="20% - アクセント 3 3 2 2" xfId="160" xr:uid="{5FA34AD2-BB33-457F-BF34-2C6A5433DD21}"/>
    <cellStyle name="20% - アクセント 3 3 3" xfId="159" xr:uid="{791C20A0-A017-4B9C-A919-7C1DAF267276}"/>
    <cellStyle name="20% - アクセント 4 2" xfId="10" xr:uid="{00000000-0005-0000-0000-000009000000}"/>
    <cellStyle name="20% - アクセント 4 2 2" xfId="161" xr:uid="{802E9D87-8EC8-4B13-8891-5740746AFFCB}"/>
    <cellStyle name="20% - アクセント 4 3" xfId="11" xr:uid="{00000000-0005-0000-0000-00000A000000}"/>
    <cellStyle name="20% - アクセント 4 3 2" xfId="12" xr:uid="{00000000-0005-0000-0000-00000B000000}"/>
    <cellStyle name="20% - アクセント 4 3 2 2" xfId="163" xr:uid="{C16CE7E7-8034-40D6-B8B0-A478D8E40B2E}"/>
    <cellStyle name="20% - アクセント 4 3 3" xfId="162" xr:uid="{F797B4EF-FE6B-4594-9919-3373B4FDCBFA}"/>
    <cellStyle name="20% - アクセント 5 2" xfId="13" xr:uid="{00000000-0005-0000-0000-00000C000000}"/>
    <cellStyle name="20% - アクセント 5 2 2" xfId="164" xr:uid="{2A3C240A-3D6E-4BA2-A957-B6BD3C947B2A}"/>
    <cellStyle name="20% - アクセント 5 3" xfId="14" xr:uid="{00000000-0005-0000-0000-00000D000000}"/>
    <cellStyle name="20% - アクセント 5 3 2" xfId="15" xr:uid="{00000000-0005-0000-0000-00000E000000}"/>
    <cellStyle name="20% - アクセント 5 3 2 2" xfId="166" xr:uid="{3EAE46B1-9FE6-4D63-8D7A-BEA8FAE661AF}"/>
    <cellStyle name="20% - アクセント 5 3 3" xfId="165" xr:uid="{D8B56A96-3FFC-485B-BAC2-D8C556F63F92}"/>
    <cellStyle name="20% - アクセント 5 4" xfId="16" xr:uid="{00000000-0005-0000-0000-00000F000000}"/>
    <cellStyle name="20% - アクセント 5 4 2" xfId="17" xr:uid="{00000000-0005-0000-0000-000010000000}"/>
    <cellStyle name="20% - アクセント 5 4 2 2" xfId="168" xr:uid="{3C26095D-5CC7-4F92-8529-6818CC7DE45A}"/>
    <cellStyle name="20% - アクセント 5 4 3" xfId="167" xr:uid="{31A262BB-F46C-49EA-B67C-E428AA171FCD}"/>
    <cellStyle name="20% - アクセント 6 2" xfId="18" xr:uid="{00000000-0005-0000-0000-000011000000}"/>
    <cellStyle name="20% - アクセント 6 2 2" xfId="169" xr:uid="{61834217-71DB-4A62-B5E8-2070782EFC89}"/>
    <cellStyle name="20% - アクセント 6 3" xfId="19" xr:uid="{00000000-0005-0000-0000-000012000000}"/>
    <cellStyle name="20% - アクセント 6 3 2" xfId="20" xr:uid="{00000000-0005-0000-0000-000013000000}"/>
    <cellStyle name="20% - アクセント 6 3 2 2" xfId="171" xr:uid="{B61B5425-EF8C-4359-AABE-44988EDCE1F4}"/>
    <cellStyle name="20% - アクセント 6 3 3" xfId="170" xr:uid="{9F140097-29CA-4791-A2F4-9595AB2A12C2}"/>
    <cellStyle name="20% - アクセント 6 4" xfId="21" xr:uid="{00000000-0005-0000-0000-000014000000}"/>
    <cellStyle name="20% - アクセント 6 4 2" xfId="22" xr:uid="{00000000-0005-0000-0000-000015000000}"/>
    <cellStyle name="20% - アクセント 6 4 2 2" xfId="173" xr:uid="{E5EE5975-E3A7-4F72-9380-48AC2D753D45}"/>
    <cellStyle name="20% - アクセント 6 4 3" xfId="172" xr:uid="{5939CC37-74FD-4EC4-8974-CA915E354DD7}"/>
    <cellStyle name="40% - アクセント 1 2" xfId="23" xr:uid="{00000000-0005-0000-0000-000016000000}"/>
    <cellStyle name="40% - アクセント 1 2 2" xfId="174" xr:uid="{72788734-E087-44F0-9540-B3E27EA08966}"/>
    <cellStyle name="40% - アクセント 1 3" xfId="24" xr:uid="{00000000-0005-0000-0000-000017000000}"/>
    <cellStyle name="40% - アクセント 1 3 2" xfId="25" xr:uid="{00000000-0005-0000-0000-000018000000}"/>
    <cellStyle name="40% - アクセント 1 3 2 2" xfId="176" xr:uid="{35DDEFCF-A206-414C-BF32-73EC20AAAFD5}"/>
    <cellStyle name="40% - アクセント 1 3 3" xfId="175" xr:uid="{4C2C6974-8FC4-4AC6-A8BE-B7621320485E}"/>
    <cellStyle name="40% - アクセント 2 2" xfId="26" xr:uid="{00000000-0005-0000-0000-000019000000}"/>
    <cellStyle name="40% - アクセント 2 2 2" xfId="27" xr:uid="{00000000-0005-0000-0000-00001A000000}"/>
    <cellStyle name="40% - アクセント 2 2 2 2" xfId="28" xr:uid="{00000000-0005-0000-0000-00001B000000}"/>
    <cellStyle name="40% - アクセント 2 2 2 2 2" xfId="179" xr:uid="{A30EDF27-1129-4098-9A34-B2A87A977BC9}"/>
    <cellStyle name="40% - アクセント 2 2 2 3" xfId="178" xr:uid="{3895DC58-B52E-4DF1-9E10-0F599BF3067A}"/>
    <cellStyle name="40% - アクセント 2 2 3" xfId="177" xr:uid="{D33240B1-4D7E-4887-BF4F-332D691621EE}"/>
    <cellStyle name="40% - アクセント 2 3" xfId="29" xr:uid="{00000000-0005-0000-0000-00001C000000}"/>
    <cellStyle name="40% - アクセント 2 3 2" xfId="30" xr:uid="{00000000-0005-0000-0000-00001D000000}"/>
    <cellStyle name="40% - アクセント 2 3 2 2" xfId="181" xr:uid="{61165514-F169-4942-8448-57BDAF5E7CA8}"/>
    <cellStyle name="40% - アクセント 2 3 3" xfId="180" xr:uid="{F33B0A7C-05C6-4411-9115-A9A878946140}"/>
    <cellStyle name="40% - アクセント 2 4" xfId="31" xr:uid="{00000000-0005-0000-0000-00001E000000}"/>
    <cellStyle name="40% - アクセント 2 4 2" xfId="32" xr:uid="{00000000-0005-0000-0000-00001F000000}"/>
    <cellStyle name="40% - アクセント 2 4 2 2" xfId="183" xr:uid="{5CD03F97-C444-4E4B-8106-B11D623C1DDD}"/>
    <cellStyle name="40% - アクセント 2 4 3" xfId="182" xr:uid="{67B45F99-D184-4EA8-9B04-C56921E021FB}"/>
    <cellStyle name="40% - アクセント 3 2" xfId="33" xr:uid="{00000000-0005-0000-0000-000020000000}"/>
    <cellStyle name="40% - アクセント 3 2 2" xfId="184" xr:uid="{38DFC216-3696-4D22-AB0A-FA774CE4D486}"/>
    <cellStyle name="40% - アクセント 3 3" xfId="34" xr:uid="{00000000-0005-0000-0000-000021000000}"/>
    <cellStyle name="40% - アクセント 3 3 2" xfId="35" xr:uid="{00000000-0005-0000-0000-000022000000}"/>
    <cellStyle name="40% - アクセント 3 3 2 2" xfId="186" xr:uid="{06A47B7B-E6CF-40FD-BAD1-A443205B8EF2}"/>
    <cellStyle name="40% - アクセント 3 3 3" xfId="185" xr:uid="{8A6096EE-7EC6-4A7C-B240-2D6C476217E2}"/>
    <cellStyle name="40% - アクセント 4 2" xfId="36" xr:uid="{00000000-0005-0000-0000-000023000000}"/>
    <cellStyle name="40% - アクセント 4 2 2" xfId="187" xr:uid="{96E94707-E017-428C-B7F5-F43F16CD2E7E}"/>
    <cellStyle name="40% - アクセント 4 3" xfId="37" xr:uid="{00000000-0005-0000-0000-000024000000}"/>
    <cellStyle name="40% - アクセント 4 3 2" xfId="38" xr:uid="{00000000-0005-0000-0000-000025000000}"/>
    <cellStyle name="40% - アクセント 4 3 2 2" xfId="189" xr:uid="{DF6E139C-430A-4E10-ADA8-C657EEC92054}"/>
    <cellStyle name="40% - アクセント 4 3 3" xfId="188" xr:uid="{50559258-25A8-4F3F-BAA0-C17390CA4DF4}"/>
    <cellStyle name="40% - アクセント 5 2" xfId="39" xr:uid="{00000000-0005-0000-0000-000026000000}"/>
    <cellStyle name="40% - アクセント 5 2 2" xfId="40" xr:uid="{00000000-0005-0000-0000-000027000000}"/>
    <cellStyle name="40% - アクセント 5 2 2 2" xfId="41" xr:uid="{00000000-0005-0000-0000-000028000000}"/>
    <cellStyle name="40% - アクセント 5 2 2 2 2" xfId="192" xr:uid="{4E04AE1B-86F3-4BFB-BE49-F7822B62A740}"/>
    <cellStyle name="40% - アクセント 5 2 2 3" xfId="191" xr:uid="{10D326C8-8911-4F16-AC04-58A7BD0ED5CB}"/>
    <cellStyle name="40% - アクセント 5 2 3" xfId="190" xr:uid="{B70FDA0B-3569-4BDC-8AFE-BEC72CF92887}"/>
    <cellStyle name="40% - アクセント 5 3" xfId="42" xr:uid="{00000000-0005-0000-0000-000029000000}"/>
    <cellStyle name="40% - アクセント 5 3 2" xfId="43" xr:uid="{00000000-0005-0000-0000-00002A000000}"/>
    <cellStyle name="40% - アクセント 5 3 2 2" xfId="194" xr:uid="{B331BE67-16A1-4C86-A163-188A56BA30D9}"/>
    <cellStyle name="40% - アクセント 5 3 3" xfId="193" xr:uid="{58D6CAA7-4335-42CA-9A81-22E372EAD370}"/>
    <cellStyle name="40% - アクセント 5 4" xfId="44" xr:uid="{00000000-0005-0000-0000-00002B000000}"/>
    <cellStyle name="40% - アクセント 5 4 2" xfId="45" xr:uid="{00000000-0005-0000-0000-00002C000000}"/>
    <cellStyle name="40% - アクセント 5 4 2 2" xfId="196" xr:uid="{AB0E5469-609E-4EB7-9D9E-E990449C3AA4}"/>
    <cellStyle name="40% - アクセント 5 4 3" xfId="195" xr:uid="{6703A021-E515-40F3-9B38-1DB23DF01D48}"/>
    <cellStyle name="40% - アクセント 6 2" xfId="46" xr:uid="{00000000-0005-0000-0000-00002D000000}"/>
    <cellStyle name="40% - アクセント 6 2 2" xfId="197" xr:uid="{96BE4F69-E8DE-46B4-99D3-1B4129B675FE}"/>
    <cellStyle name="40% - アクセント 6 3" xfId="47" xr:uid="{00000000-0005-0000-0000-00002E000000}"/>
    <cellStyle name="40% - アクセント 6 3 2" xfId="48" xr:uid="{00000000-0005-0000-0000-00002F000000}"/>
    <cellStyle name="40% - アクセント 6 3 2 2" xfId="199" xr:uid="{1522E3B5-6DE6-4A7D-B614-EF6C896AC682}"/>
    <cellStyle name="40% - アクセント 6 3 3" xfId="198" xr:uid="{F4ACAA2A-668E-40CB-9252-63515E9F8783}"/>
    <cellStyle name="60% - アクセント 1 2" xfId="49" xr:uid="{00000000-0005-0000-0000-000030000000}"/>
    <cellStyle name="60% - アクセント 1 2 2" xfId="200" xr:uid="{B5F1DCDD-A094-41AB-AD05-B5FD4FDE8DA8}"/>
    <cellStyle name="60% - アクセント 1 3" xfId="50" xr:uid="{00000000-0005-0000-0000-000031000000}"/>
    <cellStyle name="60% - アクセント 1 3 2" xfId="51" xr:uid="{00000000-0005-0000-0000-000032000000}"/>
    <cellStyle name="60% - アクセント 1 3 2 2" xfId="202" xr:uid="{F3743C2D-CA7A-4B0A-9E2D-3C7565B8B106}"/>
    <cellStyle name="60% - アクセント 1 3 3" xfId="201" xr:uid="{835E48AD-D03A-41F8-9EBA-1BDC354799A2}"/>
    <cellStyle name="60% - アクセント 2 2" xfId="52" xr:uid="{00000000-0005-0000-0000-000033000000}"/>
    <cellStyle name="60% - アクセント 2 2 2" xfId="203" xr:uid="{A9131814-4F20-4582-AAFB-A970BB0D689A}"/>
    <cellStyle name="60% - アクセント 2 3" xfId="53" xr:uid="{00000000-0005-0000-0000-000034000000}"/>
    <cellStyle name="60% - アクセント 2 3 2" xfId="54" xr:uid="{00000000-0005-0000-0000-000035000000}"/>
    <cellStyle name="60% - アクセント 2 3 2 2" xfId="205" xr:uid="{279DA1B0-11C8-4D00-BB5C-EDAA156832B9}"/>
    <cellStyle name="60% - アクセント 2 3 3" xfId="204" xr:uid="{8FFF3D35-7D27-480E-94B6-89C0A2A81294}"/>
    <cellStyle name="60% - アクセント 3 2" xfId="55" xr:uid="{00000000-0005-0000-0000-000036000000}"/>
    <cellStyle name="60% - アクセント 3 2 2" xfId="206" xr:uid="{3A832BD4-01CE-4690-B45D-ECBA46163425}"/>
    <cellStyle name="60% - アクセント 3 3" xfId="56" xr:uid="{00000000-0005-0000-0000-000037000000}"/>
    <cellStyle name="60% - アクセント 3 3 2" xfId="57" xr:uid="{00000000-0005-0000-0000-000038000000}"/>
    <cellStyle name="60% - アクセント 3 3 2 2" xfId="208" xr:uid="{D8B5D7BE-ED5E-4A11-BEC8-1807F7B0BA01}"/>
    <cellStyle name="60% - アクセント 3 3 3" xfId="207" xr:uid="{A1CE616A-C0EE-45BA-B862-CCCC80050B01}"/>
    <cellStyle name="60% - アクセント 4 2" xfId="58" xr:uid="{00000000-0005-0000-0000-000039000000}"/>
    <cellStyle name="60% - アクセント 4 2 2" xfId="209" xr:uid="{9FE3DB5D-52A5-48F8-B124-5B5B1562302D}"/>
    <cellStyle name="60% - アクセント 4 3" xfId="59" xr:uid="{00000000-0005-0000-0000-00003A000000}"/>
    <cellStyle name="60% - アクセント 4 3 2" xfId="60" xr:uid="{00000000-0005-0000-0000-00003B000000}"/>
    <cellStyle name="60% - アクセント 4 3 2 2" xfId="211" xr:uid="{952A6188-EBFB-4A94-92A0-690C8DDCE3ED}"/>
    <cellStyle name="60% - アクセント 4 3 3" xfId="210" xr:uid="{0DA4441B-F9C7-4340-A7D0-99B1DB76C97C}"/>
    <cellStyle name="60% - アクセント 5 2" xfId="61" xr:uid="{00000000-0005-0000-0000-00003C000000}"/>
    <cellStyle name="60% - アクセント 5 2 2" xfId="212" xr:uid="{4A278242-C4EE-448E-B5D0-FA3694EEFA37}"/>
    <cellStyle name="60% - アクセント 5 3" xfId="62" xr:uid="{00000000-0005-0000-0000-00003D000000}"/>
    <cellStyle name="60% - アクセント 5 3 2" xfId="63" xr:uid="{00000000-0005-0000-0000-00003E000000}"/>
    <cellStyle name="60% - アクセント 5 3 2 2" xfId="214" xr:uid="{57907B33-CF3D-4C5A-934C-45849DEF9527}"/>
    <cellStyle name="60% - アクセント 5 3 3" xfId="213" xr:uid="{2623726C-3C62-4702-84AA-B4750DB30A1F}"/>
    <cellStyle name="60% - アクセント 6 2" xfId="64" xr:uid="{00000000-0005-0000-0000-00003F000000}"/>
    <cellStyle name="60% - アクセント 6 2 2" xfId="215" xr:uid="{7C62E626-E32A-437B-9F33-6714B42AE333}"/>
    <cellStyle name="60% - アクセント 6 3" xfId="65" xr:uid="{00000000-0005-0000-0000-000040000000}"/>
    <cellStyle name="60% - アクセント 6 3 2" xfId="66" xr:uid="{00000000-0005-0000-0000-000041000000}"/>
    <cellStyle name="60% - アクセント 6 3 2 2" xfId="217" xr:uid="{0313A8D4-4F3B-4797-A4FD-AA3620A6E876}"/>
    <cellStyle name="60% - アクセント 6 3 3" xfId="216" xr:uid="{AE9E7D9F-106B-46BF-AB3C-3BDCF9D3CE77}"/>
    <cellStyle name="アクセント 1 2" xfId="67" xr:uid="{00000000-0005-0000-0000-000042000000}"/>
    <cellStyle name="アクセント 1 2 2" xfId="221" xr:uid="{494ABBAD-03D7-4B00-BFE8-4FF9B3F923F9}"/>
    <cellStyle name="アクセント 1 3" xfId="68" xr:uid="{00000000-0005-0000-0000-000043000000}"/>
    <cellStyle name="アクセント 1 3 2" xfId="69" xr:uid="{00000000-0005-0000-0000-000044000000}"/>
    <cellStyle name="アクセント 1 3 2 2" xfId="223" xr:uid="{F3038F65-3330-4F57-BA6D-1640DFA74B10}"/>
    <cellStyle name="アクセント 1 3 3" xfId="222" xr:uid="{B8E1370F-9174-48B8-A067-6212ED3F9032}"/>
    <cellStyle name="アクセント 2 2" xfId="70" xr:uid="{00000000-0005-0000-0000-000045000000}"/>
    <cellStyle name="アクセント 2 2 2" xfId="224" xr:uid="{5F4A18BF-C842-45EB-A010-1A2AF182EF49}"/>
    <cellStyle name="アクセント 2 3" xfId="71" xr:uid="{00000000-0005-0000-0000-000046000000}"/>
    <cellStyle name="アクセント 2 3 2" xfId="72" xr:uid="{00000000-0005-0000-0000-000047000000}"/>
    <cellStyle name="アクセント 2 3 2 2" xfId="226" xr:uid="{7C6F3B6A-6C54-4601-9214-333DF211D22A}"/>
    <cellStyle name="アクセント 2 3 3" xfId="225" xr:uid="{AE3EDE2A-22AC-4AC7-883D-6D1286E191D5}"/>
    <cellStyle name="アクセント 3 2" xfId="73" xr:uid="{00000000-0005-0000-0000-000048000000}"/>
    <cellStyle name="アクセント 3 2 2" xfId="227" xr:uid="{0D8D860C-75F2-4C46-BA6A-884E1B13F83D}"/>
    <cellStyle name="アクセント 3 3" xfId="74" xr:uid="{00000000-0005-0000-0000-000049000000}"/>
    <cellStyle name="アクセント 3 3 2" xfId="75" xr:uid="{00000000-0005-0000-0000-00004A000000}"/>
    <cellStyle name="アクセント 3 3 2 2" xfId="229" xr:uid="{D0EEE85B-D0D0-4A74-931C-A5EF7A6C2BF8}"/>
    <cellStyle name="アクセント 3 3 3" xfId="228" xr:uid="{BA4B1C8D-E2AF-4764-B0AB-0BB46FC42469}"/>
    <cellStyle name="アクセント 4 2" xfId="76" xr:uid="{00000000-0005-0000-0000-00004B000000}"/>
    <cellStyle name="アクセント 4 2 2" xfId="230" xr:uid="{A586C5F3-5343-4C1D-8124-4B57D5960358}"/>
    <cellStyle name="アクセント 4 3" xfId="77" xr:uid="{00000000-0005-0000-0000-00004C000000}"/>
    <cellStyle name="アクセント 4 3 2" xfId="78" xr:uid="{00000000-0005-0000-0000-00004D000000}"/>
    <cellStyle name="アクセント 4 3 2 2" xfId="232" xr:uid="{BB7A8454-8961-48ED-8FC4-45DB501DAF74}"/>
    <cellStyle name="アクセント 4 3 3" xfId="231" xr:uid="{699F2978-3A8F-4721-B417-6E60FD1F6110}"/>
    <cellStyle name="アクセント 5 2" xfId="79" xr:uid="{00000000-0005-0000-0000-00004E000000}"/>
    <cellStyle name="アクセント 5 2 2" xfId="233" xr:uid="{17A7B10E-F065-4CEB-AB3F-E4B5070994AB}"/>
    <cellStyle name="アクセント 5 3" xfId="80" xr:uid="{00000000-0005-0000-0000-00004F000000}"/>
    <cellStyle name="アクセント 5 3 2" xfId="81" xr:uid="{00000000-0005-0000-0000-000050000000}"/>
    <cellStyle name="アクセント 5 3 2 2" xfId="235" xr:uid="{E105EADC-C9AC-4231-8EDC-A1DF59693EC0}"/>
    <cellStyle name="アクセント 5 3 3" xfId="234" xr:uid="{4CC1E1FF-33B4-4CED-9953-B01DFF53E611}"/>
    <cellStyle name="アクセント 6 2" xfId="82" xr:uid="{00000000-0005-0000-0000-000051000000}"/>
    <cellStyle name="アクセント 6 2 2" xfId="236" xr:uid="{0DD54823-F466-44C3-B5F3-64B17AF07027}"/>
    <cellStyle name="アクセント 6 3" xfId="83" xr:uid="{00000000-0005-0000-0000-000052000000}"/>
    <cellStyle name="アクセント 6 3 2" xfId="84" xr:uid="{00000000-0005-0000-0000-000053000000}"/>
    <cellStyle name="アクセント 6 3 2 2" xfId="238" xr:uid="{D2D370D3-1218-4F56-AEC1-127B73E9C915}"/>
    <cellStyle name="アクセント 6 3 3" xfId="237" xr:uid="{B3AB97F1-8992-4F16-A3C6-6668DBD11409}"/>
    <cellStyle name="タイトル" xfId="85" builtinId="15" customBuiltin="1"/>
    <cellStyle name="タイトル 2" xfId="86" xr:uid="{00000000-0005-0000-0000-000055000000}"/>
    <cellStyle name="タイトル 2 2" xfId="240" xr:uid="{488856EC-AA15-4F83-9604-695D1C08365B}"/>
    <cellStyle name="タイトル 3" xfId="87" xr:uid="{00000000-0005-0000-0000-000056000000}"/>
    <cellStyle name="タイトル 3 2" xfId="88" xr:uid="{00000000-0005-0000-0000-000057000000}"/>
    <cellStyle name="タイトル 3 2 2" xfId="242" xr:uid="{F379EE7A-01F8-49A5-91E5-B5C66AF4A2A2}"/>
    <cellStyle name="タイトル 3 3" xfId="241" xr:uid="{DCBE8365-41F7-4E22-9BA1-581ABC122C7B}"/>
    <cellStyle name="タイトル 4" xfId="239" xr:uid="{D1E2B6BB-A037-4A5E-A9A6-0BC536282A82}"/>
    <cellStyle name="チェック セル 2" xfId="89" xr:uid="{00000000-0005-0000-0000-000058000000}"/>
    <cellStyle name="チェック セル 2 2" xfId="243" xr:uid="{0BDA53B7-07E4-4F87-923C-F71D8C73D4AC}"/>
    <cellStyle name="チェック セル 3" xfId="90" xr:uid="{00000000-0005-0000-0000-000059000000}"/>
    <cellStyle name="チェック セル 3 2" xfId="91" xr:uid="{00000000-0005-0000-0000-00005A000000}"/>
    <cellStyle name="チェック セル 3 2 2" xfId="245" xr:uid="{D48B4BE2-A9B9-4B1A-8DCE-EABA55A21FFE}"/>
    <cellStyle name="チェック セル 3 3" xfId="244" xr:uid="{FDD99835-78EF-489A-BF49-DAE89F50CB79}"/>
    <cellStyle name="どちらでもない 2" xfId="92" xr:uid="{00000000-0005-0000-0000-00005B000000}"/>
    <cellStyle name="どちらでもない 2 2" xfId="218" xr:uid="{9805A29C-2F04-4D93-B028-CFFF7B644269}"/>
    <cellStyle name="どちらでもない 3" xfId="93" xr:uid="{00000000-0005-0000-0000-00005C000000}"/>
    <cellStyle name="どちらでもない 3 2" xfId="94" xr:uid="{00000000-0005-0000-0000-00005D000000}"/>
    <cellStyle name="どちらでもない 3 2 2" xfId="220" xr:uid="{8D6BA67E-4CD3-4D97-8072-1BBF5947E08B}"/>
    <cellStyle name="どちらでもない 3 3" xfId="219" xr:uid="{862E2C65-3A64-4F8E-ADE4-9F5DB52B7C07}"/>
    <cellStyle name="パーセント" xfId="95" builtinId="5"/>
    <cellStyle name="メモ 2" xfId="96" xr:uid="{00000000-0005-0000-0000-00005F000000}"/>
    <cellStyle name="メモ 2 2" xfId="246" xr:uid="{CA3137BF-1080-42A8-9CF3-42580DE6CBED}"/>
    <cellStyle name="メモ 3" xfId="97" xr:uid="{00000000-0005-0000-0000-000060000000}"/>
    <cellStyle name="メモ 3 2" xfId="98" xr:uid="{00000000-0005-0000-0000-000061000000}"/>
    <cellStyle name="メモ 3 2 2" xfId="248" xr:uid="{05DA7B3C-6B72-4103-BCB6-D19D99663CED}"/>
    <cellStyle name="メモ 3 3" xfId="247" xr:uid="{8BD1BA16-C628-4FB7-9188-5054351F6C90}"/>
    <cellStyle name="リンク セル" xfId="99" builtinId="24" customBuiltin="1"/>
    <cellStyle name="リンク セル 2" xfId="100" xr:uid="{00000000-0005-0000-0000-000063000000}"/>
    <cellStyle name="リンク セル 2 2" xfId="250" xr:uid="{86393F1B-E3F3-439F-A1D3-3D03AA85A577}"/>
    <cellStyle name="リンク セル 3" xfId="249" xr:uid="{507E9D8C-2F4A-440C-91D3-D053BDF21FCB}"/>
    <cellStyle name="悪い 2" xfId="101" xr:uid="{00000000-0005-0000-0000-000064000000}"/>
    <cellStyle name="悪い 2 2" xfId="257" xr:uid="{FAF74B7A-F5F9-455D-85EB-B73F4E10EC57}"/>
    <cellStyle name="悪い 3" xfId="102" xr:uid="{00000000-0005-0000-0000-000065000000}"/>
    <cellStyle name="悪い 3 2" xfId="103" xr:uid="{00000000-0005-0000-0000-000066000000}"/>
    <cellStyle name="悪い 3 2 2" xfId="259" xr:uid="{8DE93C28-E182-4A97-B326-3F2F057768A8}"/>
    <cellStyle name="悪い 3 3" xfId="258" xr:uid="{58587E0E-A2BE-4C03-8E20-1EBB05774456}"/>
    <cellStyle name="計算 2" xfId="104" xr:uid="{00000000-0005-0000-0000-000067000000}"/>
    <cellStyle name="計算 2 2" xfId="287" xr:uid="{F787EB41-35E2-4303-B47A-1D55043D64AD}"/>
    <cellStyle name="計算 3" xfId="105" xr:uid="{00000000-0005-0000-0000-000068000000}"/>
    <cellStyle name="計算 3 2" xfId="106" xr:uid="{00000000-0005-0000-0000-000069000000}"/>
    <cellStyle name="計算 3 2 2" xfId="289" xr:uid="{2168A035-81F5-4E5B-A132-8F605B7C16C9}"/>
    <cellStyle name="計算 3 3" xfId="288" xr:uid="{CC691F83-3553-4558-ABD9-1F0DD9F5FD08}"/>
    <cellStyle name="警告文 2" xfId="107" xr:uid="{00000000-0005-0000-0000-00006A000000}"/>
    <cellStyle name="警告文 2 2" xfId="292" xr:uid="{122B952B-72A0-4A37-8714-1562EF8D8F06}"/>
    <cellStyle name="警告文 3" xfId="108" xr:uid="{00000000-0005-0000-0000-00006B000000}"/>
    <cellStyle name="警告文 3 2" xfId="109" xr:uid="{00000000-0005-0000-0000-00006C000000}"/>
    <cellStyle name="警告文 3 2 2" xfId="294" xr:uid="{FBF65872-E2D9-408F-93F4-2A52EB4D5D2D}"/>
    <cellStyle name="警告文 3 3" xfId="293" xr:uid="{6F79D317-DA79-4BFC-BD0B-F9D801801579}"/>
    <cellStyle name="桁区切り" xfId="110" builtinId="6"/>
    <cellStyle name="桁区切り 2" xfId="111" xr:uid="{00000000-0005-0000-0000-00006E000000}"/>
    <cellStyle name="桁区切り 2 2" xfId="260" xr:uid="{453B78D8-9A67-4D99-A6BF-8217E4BEE741}"/>
    <cellStyle name="桁区切り 3" xfId="298" xr:uid="{A562CE7A-5D28-4331-8F1A-030198DFDBB8}"/>
    <cellStyle name="見出し 1" xfId="112" builtinId="16" customBuiltin="1"/>
    <cellStyle name="見出し 1 2" xfId="113" xr:uid="{00000000-0005-0000-0000-000070000000}"/>
    <cellStyle name="見出し 1 2 2" xfId="275" xr:uid="{942D3838-B03A-46C9-A6B8-4AA487D13D74}"/>
    <cellStyle name="見出し 1 3" xfId="274" xr:uid="{E33D4F71-1CBE-493E-83C4-B3D827E4376D}"/>
    <cellStyle name="見出し 2 2" xfId="114" xr:uid="{00000000-0005-0000-0000-000071000000}"/>
    <cellStyle name="見出し 2 2 2" xfId="115" xr:uid="{00000000-0005-0000-0000-000072000000}"/>
    <cellStyle name="見出し 2 2 2 2" xfId="116" xr:uid="{00000000-0005-0000-0000-000073000000}"/>
    <cellStyle name="見出し 2 2 2 2 2" xfId="278" xr:uid="{098FC86B-B55B-4AA6-8402-81E99F3299BF}"/>
    <cellStyle name="見出し 2 2 2 3" xfId="277" xr:uid="{60A51578-AB1E-489D-9AC8-902C852C3037}"/>
    <cellStyle name="見出し 2 2 3" xfId="276" xr:uid="{D4DA5825-484F-4636-A807-076A133261B8}"/>
    <cellStyle name="見出し 2 3" xfId="117" xr:uid="{00000000-0005-0000-0000-000074000000}"/>
    <cellStyle name="見出し 2 3 2" xfId="118" xr:uid="{00000000-0005-0000-0000-000075000000}"/>
    <cellStyle name="見出し 2 3 2 2" xfId="280" xr:uid="{730C7A75-E451-4B17-A9C8-227ACA60D5B0}"/>
    <cellStyle name="見出し 2 3 3" xfId="279" xr:uid="{3CB1A033-091B-4821-A9D2-417FB09B0FD3}"/>
    <cellStyle name="見出し 2 4" xfId="119" xr:uid="{00000000-0005-0000-0000-000076000000}"/>
    <cellStyle name="見出し 2 4 2" xfId="120" xr:uid="{00000000-0005-0000-0000-000077000000}"/>
    <cellStyle name="見出し 2 4 2 2" xfId="282" xr:uid="{CBB926C4-A5F2-44A8-BB47-D658674474EB}"/>
    <cellStyle name="見出し 2 4 3" xfId="281" xr:uid="{86DCAFA0-414F-4B2F-AFAB-D44EDD30A3CE}"/>
    <cellStyle name="見出し 3" xfId="121" builtinId="18" customBuiltin="1"/>
    <cellStyle name="見出し 3 2" xfId="122" xr:uid="{00000000-0005-0000-0000-000079000000}"/>
    <cellStyle name="見出し 3 2 2" xfId="284" xr:uid="{4294B831-A73E-453E-9965-AADF7D1EAE0C}"/>
    <cellStyle name="見出し 3 3" xfId="283" xr:uid="{95CF8C73-4D6A-4B8F-B95A-755B4553AA3C}"/>
    <cellStyle name="見出し 4" xfId="123" builtinId="19" customBuiltin="1"/>
    <cellStyle name="見出し 4 2" xfId="124" xr:uid="{00000000-0005-0000-0000-00007B000000}"/>
    <cellStyle name="見出し 4 2 2" xfId="286" xr:uid="{8C720617-21A3-4BF5-B7E4-1E585F1F590F}"/>
    <cellStyle name="見出し 4 3" xfId="285" xr:uid="{753BBF4B-554D-41B9-8EDB-78DA248249F4}"/>
    <cellStyle name="集計 2" xfId="125" xr:uid="{00000000-0005-0000-0000-00007C000000}"/>
    <cellStyle name="集計 2 2" xfId="295" xr:uid="{B14DF12F-444C-45C0-902F-7CA0D4AD661C}"/>
    <cellStyle name="集計 3" xfId="126" xr:uid="{00000000-0005-0000-0000-00007D000000}"/>
    <cellStyle name="集計 3 2" xfId="127" xr:uid="{00000000-0005-0000-0000-00007E000000}"/>
    <cellStyle name="集計 3 2 2" xfId="297" xr:uid="{5CAC0AE6-2753-421F-A703-041C8DF72D73}"/>
    <cellStyle name="集計 3 3" xfId="296" xr:uid="{ACBC98CE-551A-4A8F-8B11-C226F39B08AE}"/>
    <cellStyle name="出力 2" xfId="128" xr:uid="{00000000-0005-0000-0000-00007F000000}"/>
    <cellStyle name="出力 2 2" xfId="254" xr:uid="{E5C4B17C-D2E6-4967-97EE-008E9CA9320B}"/>
    <cellStyle name="出力 3" xfId="129" xr:uid="{00000000-0005-0000-0000-000080000000}"/>
    <cellStyle name="出力 3 2" xfId="130" xr:uid="{00000000-0005-0000-0000-000081000000}"/>
    <cellStyle name="出力 3 2 2" xfId="256" xr:uid="{2DB6C84A-9F4B-403F-AE06-BBABD6107EC9}"/>
    <cellStyle name="出力 3 3" xfId="255" xr:uid="{220E71E4-3A0C-4B2B-8008-58BFB7B7CA1E}"/>
    <cellStyle name="説明文" xfId="131" builtinId="53" customBuiltin="1"/>
    <cellStyle name="説明文 2" xfId="132" xr:uid="{00000000-0005-0000-0000-000083000000}"/>
    <cellStyle name="説明文 2 2" xfId="291" xr:uid="{51C93054-8C60-4388-88A0-65D1EC7EDB93}"/>
    <cellStyle name="説明文 3" xfId="290" xr:uid="{38B39BB4-645E-4B4B-A8DD-5B083F49211D}"/>
    <cellStyle name="入力 2" xfId="133" xr:uid="{00000000-0005-0000-0000-000084000000}"/>
    <cellStyle name="入力 2 2" xfId="251" xr:uid="{3AF5C9BE-A720-46E5-AEC0-1C1D412BF9CA}"/>
    <cellStyle name="入力 3" xfId="134" xr:uid="{00000000-0005-0000-0000-000085000000}"/>
    <cellStyle name="入力 3 2" xfId="135" xr:uid="{00000000-0005-0000-0000-000086000000}"/>
    <cellStyle name="入力 3 2 2" xfId="253" xr:uid="{F41B1E31-F297-4656-958A-E5E6172809DC}"/>
    <cellStyle name="入力 3 3" xfId="252" xr:uid="{5AA97E07-444E-4E7D-8A2C-89EA2D1E3AB9}"/>
    <cellStyle name="標準" xfId="0" builtinId="0"/>
    <cellStyle name="標準 2" xfId="136" xr:uid="{00000000-0005-0000-0000-000088000000}"/>
    <cellStyle name="標準 2 2" xfId="261" xr:uid="{12595345-C806-4008-A3CE-9D52CE94B765}"/>
    <cellStyle name="標準 3" xfId="137" xr:uid="{00000000-0005-0000-0000-000089000000}"/>
    <cellStyle name="標準 3 2" xfId="138" xr:uid="{00000000-0005-0000-0000-00008A000000}"/>
    <cellStyle name="標準 3 2 2" xfId="139" xr:uid="{00000000-0005-0000-0000-00008B000000}"/>
    <cellStyle name="標準 3 2 2 2" xfId="264" xr:uid="{B279CAB6-99C5-47E2-8E80-40FDB0CB2F43}"/>
    <cellStyle name="標準 3 2 3" xfId="263" xr:uid="{E6009691-E9EA-4FEC-9703-0798D216BD4A}"/>
    <cellStyle name="標準 3 3" xfId="140" xr:uid="{00000000-0005-0000-0000-00008C000000}"/>
    <cellStyle name="標準 3 3 2" xfId="141" xr:uid="{00000000-0005-0000-0000-00008D000000}"/>
    <cellStyle name="標準 3 3 2 2" xfId="266" xr:uid="{1703D9C9-2263-49F2-AA6D-0F36457C3A2D}"/>
    <cellStyle name="標準 3 3 3" xfId="265" xr:uid="{C1372E9A-24EC-4540-B516-B0269F51C23A}"/>
    <cellStyle name="標準 3 4" xfId="262" xr:uid="{B26961A1-A585-4BDF-89A2-88E408E07295}"/>
    <cellStyle name="標準 4" xfId="142" xr:uid="{00000000-0005-0000-0000-00008E000000}"/>
    <cellStyle name="標準 4 2" xfId="267" xr:uid="{800E3AE4-8A97-4FD6-A5AB-340C8398B2B2}"/>
    <cellStyle name="標準 5" xfId="143" xr:uid="{00000000-0005-0000-0000-00008F000000}"/>
    <cellStyle name="標準 5 2" xfId="268" xr:uid="{5C1EC05D-602C-4C59-806F-8CEC95DF9A0E}"/>
    <cellStyle name="標準 6" xfId="144" xr:uid="{00000000-0005-0000-0000-000090000000}"/>
    <cellStyle name="標準 6 2" xfId="145" xr:uid="{00000000-0005-0000-0000-000091000000}"/>
    <cellStyle name="標準 6 2 2" xfId="270" xr:uid="{E6459880-2226-4D68-8A4E-CEECE97FB8F6}"/>
    <cellStyle name="標準 6 3" xfId="269" xr:uid="{7BB1F6DD-B201-451D-AD78-563C01A7BBB1}"/>
    <cellStyle name="標準 7" xfId="151" xr:uid="{B88C8B42-BFD3-4094-9368-885CD170FE85}"/>
    <cellStyle name="標準_Sheet1" xfId="146" xr:uid="{00000000-0005-0000-0000-000092000000}"/>
    <cellStyle name="標準_観光地点等名簿" xfId="150" xr:uid="{02F27210-EDFB-4314-8871-11F94ADCE583}"/>
    <cellStyle name="良い 2" xfId="147" xr:uid="{00000000-0005-0000-0000-000093000000}"/>
    <cellStyle name="良い 2 2" xfId="271" xr:uid="{31F910DF-D993-45B4-AC26-516DA6FFFFCF}"/>
    <cellStyle name="良い 3" xfId="148" xr:uid="{00000000-0005-0000-0000-000094000000}"/>
    <cellStyle name="良い 3 2" xfId="149" xr:uid="{00000000-0005-0000-0000-000095000000}"/>
    <cellStyle name="良い 3 2 2" xfId="273" xr:uid="{29FBE226-7E1D-437B-9BBF-CCBFFFC0C815}"/>
    <cellStyle name="良い 3 3" xfId="272" xr:uid="{BCAE5430-08C2-4E2A-8CA5-1287B0733459}"/>
  </cellStyles>
  <dxfs count="2">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942975</xdr:colOff>
      <xdr:row>6</xdr:row>
      <xdr:rowOff>0</xdr:rowOff>
    </xdr:to>
    <xdr:sp macro="" textlink="">
      <xdr:nvSpPr>
        <xdr:cNvPr id="208320" name="Line 1">
          <a:extLst>
            <a:ext uri="{FF2B5EF4-FFF2-40B4-BE49-F238E27FC236}">
              <a16:creationId xmlns:a16="http://schemas.microsoft.com/office/drawing/2014/main" id="{2A5AB16C-B084-47C3-9DAB-821E748FF5C0}"/>
            </a:ext>
          </a:extLst>
        </xdr:cNvPr>
        <xdr:cNvSpPr>
          <a:spLocks noChangeShapeType="1"/>
        </xdr:cNvSpPr>
      </xdr:nvSpPr>
      <xdr:spPr bwMode="auto">
        <a:xfrm>
          <a:off x="0" y="485775"/>
          <a:ext cx="942975" cy="8286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xdr:row>
      <xdr:rowOff>9525</xdr:rowOff>
    </xdr:from>
    <xdr:to>
      <xdr:col>30</xdr:col>
      <xdr:colOff>0</xdr:colOff>
      <xdr:row>5</xdr:row>
      <xdr:rowOff>0</xdr:rowOff>
    </xdr:to>
    <xdr:sp macro="" textlink="">
      <xdr:nvSpPr>
        <xdr:cNvPr id="208322" name="Line 5">
          <a:extLst>
            <a:ext uri="{FF2B5EF4-FFF2-40B4-BE49-F238E27FC236}">
              <a16:creationId xmlns:a16="http://schemas.microsoft.com/office/drawing/2014/main" id="{A8C22EB3-2D36-4A83-91EC-C1EB32822645}"/>
            </a:ext>
          </a:extLst>
        </xdr:cNvPr>
        <xdr:cNvSpPr>
          <a:spLocks noChangeShapeType="1"/>
        </xdr:cNvSpPr>
      </xdr:nvSpPr>
      <xdr:spPr bwMode="auto">
        <a:xfrm>
          <a:off x="31584900" y="381000"/>
          <a:ext cx="0" cy="6191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xdr:row>
      <xdr:rowOff>9525</xdr:rowOff>
    </xdr:from>
    <xdr:to>
      <xdr:col>30</xdr:col>
      <xdr:colOff>0</xdr:colOff>
      <xdr:row>5</xdr:row>
      <xdr:rowOff>0</xdr:rowOff>
    </xdr:to>
    <xdr:sp macro="" textlink="">
      <xdr:nvSpPr>
        <xdr:cNvPr id="208323" name="Line 7">
          <a:extLst>
            <a:ext uri="{FF2B5EF4-FFF2-40B4-BE49-F238E27FC236}">
              <a16:creationId xmlns:a16="http://schemas.microsoft.com/office/drawing/2014/main" id="{99F4DA56-B151-4156-9851-5A6E3887C4AB}"/>
            </a:ext>
          </a:extLst>
        </xdr:cNvPr>
        <xdr:cNvSpPr>
          <a:spLocks noChangeShapeType="1"/>
        </xdr:cNvSpPr>
      </xdr:nvSpPr>
      <xdr:spPr bwMode="auto">
        <a:xfrm>
          <a:off x="31584900" y="381000"/>
          <a:ext cx="0" cy="6191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9525</xdr:rowOff>
    </xdr:from>
    <xdr:to>
      <xdr:col>0</xdr:col>
      <xdr:colOff>962025</xdr:colOff>
      <xdr:row>4</xdr:row>
      <xdr:rowOff>0</xdr:rowOff>
    </xdr:to>
    <xdr:sp macro="" textlink="">
      <xdr:nvSpPr>
        <xdr:cNvPr id="217200" name="Line 1">
          <a:extLst>
            <a:ext uri="{FF2B5EF4-FFF2-40B4-BE49-F238E27FC236}">
              <a16:creationId xmlns:a16="http://schemas.microsoft.com/office/drawing/2014/main" id="{08D08C76-F319-44F5-B4EB-B5167CC0E307}"/>
            </a:ext>
          </a:extLst>
        </xdr:cNvPr>
        <xdr:cNvSpPr>
          <a:spLocks noChangeShapeType="1"/>
        </xdr:cNvSpPr>
      </xdr:nvSpPr>
      <xdr:spPr bwMode="auto">
        <a:xfrm>
          <a:off x="0" y="495300"/>
          <a:ext cx="962025" cy="904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xdr:col>
      <xdr:colOff>9525</xdr:colOff>
      <xdr:row>4</xdr:row>
      <xdr:rowOff>0</xdr:rowOff>
    </xdr:to>
    <xdr:sp macro="" textlink="">
      <xdr:nvSpPr>
        <xdr:cNvPr id="218224" name="Line 1">
          <a:extLst>
            <a:ext uri="{FF2B5EF4-FFF2-40B4-BE49-F238E27FC236}">
              <a16:creationId xmlns:a16="http://schemas.microsoft.com/office/drawing/2014/main" id="{372EEC24-157F-4559-AD0C-9A51E5FE9989}"/>
            </a:ext>
          </a:extLst>
        </xdr:cNvPr>
        <xdr:cNvSpPr>
          <a:spLocks noChangeShapeType="1"/>
        </xdr:cNvSpPr>
      </xdr:nvSpPr>
      <xdr:spPr bwMode="auto">
        <a:xfrm>
          <a:off x="38100" y="533400"/>
          <a:ext cx="952500" cy="838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9525</xdr:rowOff>
    </xdr:from>
    <xdr:to>
      <xdr:col>1</xdr:col>
      <xdr:colOff>9525</xdr:colOff>
      <xdr:row>4</xdr:row>
      <xdr:rowOff>28575</xdr:rowOff>
    </xdr:to>
    <xdr:sp macro="" textlink="">
      <xdr:nvSpPr>
        <xdr:cNvPr id="219248" name="Line 1">
          <a:extLst>
            <a:ext uri="{FF2B5EF4-FFF2-40B4-BE49-F238E27FC236}">
              <a16:creationId xmlns:a16="http://schemas.microsoft.com/office/drawing/2014/main" id="{D15D6EBE-70D2-44A4-AC5A-A52ED9A6813D}"/>
            </a:ext>
          </a:extLst>
        </xdr:cNvPr>
        <xdr:cNvSpPr>
          <a:spLocks noChangeShapeType="1"/>
        </xdr:cNvSpPr>
      </xdr:nvSpPr>
      <xdr:spPr bwMode="auto">
        <a:xfrm>
          <a:off x="0" y="504825"/>
          <a:ext cx="1057275" cy="8953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xdr:row>
      <xdr:rowOff>19050</xdr:rowOff>
    </xdr:from>
    <xdr:to>
      <xdr:col>1</xdr:col>
      <xdr:colOff>9525</xdr:colOff>
      <xdr:row>6</xdr:row>
      <xdr:rowOff>0</xdr:rowOff>
    </xdr:to>
    <xdr:sp macro="" textlink="">
      <xdr:nvSpPr>
        <xdr:cNvPr id="209233" name="Line 5">
          <a:extLst>
            <a:ext uri="{FF2B5EF4-FFF2-40B4-BE49-F238E27FC236}">
              <a16:creationId xmlns:a16="http://schemas.microsoft.com/office/drawing/2014/main" id="{8508F05D-B071-4F33-A290-5C88B7AB5E13}"/>
            </a:ext>
          </a:extLst>
        </xdr:cNvPr>
        <xdr:cNvSpPr>
          <a:spLocks noChangeShapeType="1"/>
        </xdr:cNvSpPr>
      </xdr:nvSpPr>
      <xdr:spPr bwMode="auto">
        <a:xfrm>
          <a:off x="19050" y="495300"/>
          <a:ext cx="942975" cy="857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xdr:row>
      <xdr:rowOff>19050</xdr:rowOff>
    </xdr:from>
    <xdr:to>
      <xdr:col>11</xdr:col>
      <xdr:colOff>9525</xdr:colOff>
      <xdr:row>6</xdr:row>
      <xdr:rowOff>0</xdr:rowOff>
    </xdr:to>
    <xdr:sp macro="" textlink="">
      <xdr:nvSpPr>
        <xdr:cNvPr id="209234" name="Line 5">
          <a:extLst>
            <a:ext uri="{FF2B5EF4-FFF2-40B4-BE49-F238E27FC236}">
              <a16:creationId xmlns:a16="http://schemas.microsoft.com/office/drawing/2014/main" id="{C372737C-DD44-4481-9D44-899CFA04E009}"/>
            </a:ext>
          </a:extLst>
        </xdr:cNvPr>
        <xdr:cNvSpPr>
          <a:spLocks noChangeShapeType="1"/>
        </xdr:cNvSpPr>
      </xdr:nvSpPr>
      <xdr:spPr bwMode="auto">
        <a:xfrm>
          <a:off x="9601200" y="495300"/>
          <a:ext cx="9525" cy="857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923925</xdr:colOff>
      <xdr:row>6</xdr:row>
      <xdr:rowOff>0</xdr:rowOff>
    </xdr:to>
    <xdr:sp macro="" textlink="">
      <xdr:nvSpPr>
        <xdr:cNvPr id="210032" name="Line 52">
          <a:extLst>
            <a:ext uri="{FF2B5EF4-FFF2-40B4-BE49-F238E27FC236}">
              <a16:creationId xmlns:a16="http://schemas.microsoft.com/office/drawing/2014/main" id="{AD5C73E5-3FFD-417D-BDF5-2BA2A41943F5}"/>
            </a:ext>
          </a:extLst>
        </xdr:cNvPr>
        <xdr:cNvSpPr>
          <a:spLocks noChangeShapeType="1"/>
        </xdr:cNvSpPr>
      </xdr:nvSpPr>
      <xdr:spPr bwMode="auto">
        <a:xfrm>
          <a:off x="0" y="485775"/>
          <a:ext cx="923925"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9525</xdr:rowOff>
    </xdr:from>
    <xdr:to>
      <xdr:col>1</xdr:col>
      <xdr:colOff>9525</xdr:colOff>
      <xdr:row>6</xdr:row>
      <xdr:rowOff>0</xdr:rowOff>
    </xdr:to>
    <xdr:sp macro="" textlink="">
      <xdr:nvSpPr>
        <xdr:cNvPr id="211056" name="Line 1">
          <a:extLst>
            <a:ext uri="{FF2B5EF4-FFF2-40B4-BE49-F238E27FC236}">
              <a16:creationId xmlns:a16="http://schemas.microsoft.com/office/drawing/2014/main" id="{73A39222-8FF2-400A-89D3-9EEE4D16E2C8}"/>
            </a:ext>
          </a:extLst>
        </xdr:cNvPr>
        <xdr:cNvSpPr>
          <a:spLocks noChangeShapeType="1"/>
        </xdr:cNvSpPr>
      </xdr:nvSpPr>
      <xdr:spPr bwMode="auto">
        <a:xfrm>
          <a:off x="0" y="485775"/>
          <a:ext cx="971550"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2</xdr:row>
      <xdr:rowOff>38100</xdr:rowOff>
    </xdr:from>
    <xdr:to>
      <xdr:col>1</xdr:col>
      <xdr:colOff>9525</xdr:colOff>
      <xdr:row>6</xdr:row>
      <xdr:rowOff>0</xdr:rowOff>
    </xdr:to>
    <xdr:sp macro="" textlink="">
      <xdr:nvSpPr>
        <xdr:cNvPr id="212080" name="Line 4">
          <a:extLst>
            <a:ext uri="{FF2B5EF4-FFF2-40B4-BE49-F238E27FC236}">
              <a16:creationId xmlns:a16="http://schemas.microsoft.com/office/drawing/2014/main" id="{3C99182A-8F94-4F11-9C98-8491098F417D}"/>
            </a:ext>
          </a:extLst>
        </xdr:cNvPr>
        <xdr:cNvSpPr>
          <a:spLocks noChangeShapeType="1"/>
        </xdr:cNvSpPr>
      </xdr:nvSpPr>
      <xdr:spPr bwMode="auto">
        <a:xfrm>
          <a:off x="9525" y="514350"/>
          <a:ext cx="952500" cy="838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28575</xdr:colOff>
      <xdr:row>6</xdr:row>
      <xdr:rowOff>19050</xdr:rowOff>
    </xdr:to>
    <xdr:sp macro="" textlink="">
      <xdr:nvSpPr>
        <xdr:cNvPr id="213104" name="Line 3">
          <a:extLst>
            <a:ext uri="{FF2B5EF4-FFF2-40B4-BE49-F238E27FC236}">
              <a16:creationId xmlns:a16="http://schemas.microsoft.com/office/drawing/2014/main" id="{2E57392D-16BB-42E5-9A56-749D717A8218}"/>
            </a:ext>
          </a:extLst>
        </xdr:cNvPr>
        <xdr:cNvSpPr>
          <a:spLocks noChangeShapeType="1"/>
        </xdr:cNvSpPr>
      </xdr:nvSpPr>
      <xdr:spPr bwMode="auto">
        <a:xfrm>
          <a:off x="9525" y="476250"/>
          <a:ext cx="971550" cy="8953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6</xdr:row>
      <xdr:rowOff>200025</xdr:rowOff>
    </xdr:to>
    <xdr:sp macro="" textlink="">
      <xdr:nvSpPr>
        <xdr:cNvPr id="214128" name="Line 9">
          <a:extLst>
            <a:ext uri="{FF2B5EF4-FFF2-40B4-BE49-F238E27FC236}">
              <a16:creationId xmlns:a16="http://schemas.microsoft.com/office/drawing/2014/main" id="{A47AF7A7-5F2A-4779-BA71-5A20FF5510AF}"/>
            </a:ext>
          </a:extLst>
        </xdr:cNvPr>
        <xdr:cNvSpPr>
          <a:spLocks noChangeShapeType="1"/>
        </xdr:cNvSpPr>
      </xdr:nvSpPr>
      <xdr:spPr bwMode="auto">
        <a:xfrm>
          <a:off x="0" y="476250"/>
          <a:ext cx="981075" cy="857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942975</xdr:colOff>
      <xdr:row>3</xdr:row>
      <xdr:rowOff>209550</xdr:rowOff>
    </xdr:to>
    <xdr:sp macro="" textlink="">
      <xdr:nvSpPr>
        <xdr:cNvPr id="215152" name="Line 1">
          <a:extLst>
            <a:ext uri="{FF2B5EF4-FFF2-40B4-BE49-F238E27FC236}">
              <a16:creationId xmlns:a16="http://schemas.microsoft.com/office/drawing/2014/main" id="{0DD5E82F-02A3-425C-BAAB-F2D4598C9E32}"/>
            </a:ext>
          </a:extLst>
        </xdr:cNvPr>
        <xdr:cNvSpPr>
          <a:spLocks noChangeShapeType="1"/>
        </xdr:cNvSpPr>
      </xdr:nvSpPr>
      <xdr:spPr bwMode="auto">
        <a:xfrm>
          <a:off x="0" y="476250"/>
          <a:ext cx="942975"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942975</xdr:colOff>
      <xdr:row>4</xdr:row>
      <xdr:rowOff>0</xdr:rowOff>
    </xdr:to>
    <xdr:sp macro="" textlink="">
      <xdr:nvSpPr>
        <xdr:cNvPr id="216288" name="Line 1">
          <a:extLst>
            <a:ext uri="{FF2B5EF4-FFF2-40B4-BE49-F238E27FC236}">
              <a16:creationId xmlns:a16="http://schemas.microsoft.com/office/drawing/2014/main" id="{503DBE7E-90D7-492C-A5D1-CCE581AA5310}"/>
            </a:ext>
          </a:extLst>
        </xdr:cNvPr>
        <xdr:cNvSpPr>
          <a:spLocks noChangeShapeType="1"/>
        </xdr:cNvSpPr>
      </xdr:nvSpPr>
      <xdr:spPr bwMode="auto">
        <a:xfrm>
          <a:off x="0" y="504825"/>
          <a:ext cx="942975" cy="8477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0</xdr:row>
      <xdr:rowOff>9525</xdr:rowOff>
    </xdr:from>
    <xdr:to>
      <xdr:col>42</xdr:col>
      <xdr:colOff>9525</xdr:colOff>
      <xdr:row>4</xdr:row>
      <xdr:rowOff>0</xdr:rowOff>
    </xdr:to>
    <xdr:sp macro="" textlink="">
      <xdr:nvSpPr>
        <xdr:cNvPr id="216289" name="Line 6">
          <a:extLst>
            <a:ext uri="{FF2B5EF4-FFF2-40B4-BE49-F238E27FC236}">
              <a16:creationId xmlns:a16="http://schemas.microsoft.com/office/drawing/2014/main" id="{EB547A34-74F5-4AC1-8F39-03BD8A8F1AE6}"/>
            </a:ext>
          </a:extLst>
        </xdr:cNvPr>
        <xdr:cNvSpPr>
          <a:spLocks noChangeShapeType="1"/>
        </xdr:cNvSpPr>
      </xdr:nvSpPr>
      <xdr:spPr bwMode="auto">
        <a:xfrm>
          <a:off x="31746825" y="485775"/>
          <a:ext cx="9525"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35"/>
  <sheetViews>
    <sheetView zoomScale="80" zoomScaleNormal="80" zoomScaleSheetLayoutView="90" workbookViewId="0">
      <selection activeCell="B30" sqref="B30"/>
    </sheetView>
  </sheetViews>
  <sheetFormatPr defaultRowHeight="13.2"/>
  <cols>
    <col min="1" max="1" width="15.88671875" customWidth="1"/>
    <col min="2" max="2" width="57.109375" customWidth="1"/>
    <col min="3" max="3" width="15.88671875" customWidth="1"/>
    <col min="4" max="4" width="9" customWidth="1"/>
  </cols>
  <sheetData>
    <row r="1" spans="2:2">
      <c r="B1" s="326"/>
    </row>
    <row r="2" spans="2:2" ht="16.2">
      <c r="B2" s="398"/>
    </row>
    <row r="3" spans="2:2">
      <c r="B3" s="326"/>
    </row>
    <row r="4" spans="2:2">
      <c r="B4" s="326"/>
    </row>
    <row r="5" spans="2:2">
      <c r="B5" s="326"/>
    </row>
    <row r="6" spans="2:2">
      <c r="B6" s="326"/>
    </row>
    <row r="7" spans="2:2">
      <c r="B7" s="326"/>
    </row>
    <row r="8" spans="2:2" ht="53.4">
      <c r="B8" s="58" t="s">
        <v>0</v>
      </c>
    </row>
    <row r="9" spans="2:2">
      <c r="B9" s="347"/>
    </row>
    <row r="10" spans="2:2">
      <c r="B10" s="347"/>
    </row>
    <row r="11" spans="2:2">
      <c r="B11" s="326"/>
    </row>
    <row r="12" spans="2:2">
      <c r="B12" s="326"/>
    </row>
    <row r="13" spans="2:2">
      <c r="B13" s="326"/>
    </row>
    <row r="14" spans="2:2">
      <c r="B14" s="347"/>
    </row>
    <row r="15" spans="2:2">
      <c r="B15" s="347"/>
    </row>
    <row r="16" spans="2:2">
      <c r="B16" s="347"/>
    </row>
    <row r="17" spans="2:2">
      <c r="B17" s="347"/>
    </row>
    <row r="18" spans="2:2">
      <c r="B18" s="326"/>
    </row>
    <row r="19" spans="2:2">
      <c r="B19" s="326"/>
    </row>
    <row r="20" spans="2:2">
      <c r="B20" s="399"/>
    </row>
    <row r="21" spans="2:2">
      <c r="B21" s="326"/>
    </row>
    <row r="22" spans="2:2">
      <c r="B22" s="326"/>
    </row>
    <row r="23" spans="2:2">
      <c r="B23" s="326"/>
    </row>
    <row r="24" spans="2:2">
      <c r="B24" s="326"/>
    </row>
    <row r="25" spans="2:2">
      <c r="B25" s="326"/>
    </row>
    <row r="26" spans="2:2">
      <c r="B26" s="326"/>
    </row>
    <row r="27" spans="2:2">
      <c r="B27" s="1798"/>
    </row>
    <row r="28" spans="2:2" ht="184.5" customHeight="1">
      <c r="B28" s="1799"/>
    </row>
    <row r="29" spans="2:2" ht="84" customHeight="1">
      <c r="B29" s="478" t="s">
        <v>1</v>
      </c>
    </row>
    <row r="30" spans="2:2" ht="18" customHeight="1">
      <c r="B30" s="367" t="s">
        <v>2</v>
      </c>
    </row>
    <row r="31" spans="2:2" ht="16.5" customHeight="1">
      <c r="B31" s="53"/>
    </row>
    <row r="32" spans="2:2" ht="42" customHeight="1">
      <c r="B32" s="54" t="s">
        <v>3</v>
      </c>
    </row>
    <row r="33" spans="2:2" ht="11.25" customHeight="1">
      <c r="B33" s="54"/>
    </row>
    <row r="34" spans="2:2" ht="3" customHeight="1">
      <c r="B34" s="326"/>
    </row>
    <row r="35" spans="2:2" ht="5.25" customHeight="1"/>
  </sheetData>
  <customSheetViews>
    <customSheetView guid="{CFB8F6A3-286B-44DA-98E2-E06FA9DC17D9}">
      <selection activeCell="D28" sqref="D28"/>
      <pageMargins left="0" right="0" top="0" bottom="0" header="0" footer="0"/>
      <pageSetup paperSize="9" orientation="portrait" r:id="rId1"/>
    </customSheetView>
    <customSheetView guid="{429188B7-F8E8-41E0-BAA6-8F869C883D4F}" scale="80">
      <pageMargins left="0" right="0" top="0" bottom="0" header="0" footer="0"/>
      <pageSetup paperSize="9" orientation="portrait" r:id="rId2"/>
    </customSheetView>
  </customSheetViews>
  <mergeCells count="1">
    <mergeCell ref="B27:B2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9"/>
  <dimension ref="A1:Z74"/>
  <sheetViews>
    <sheetView showGridLines="0" view="pageBreakPreview" zoomScale="90" zoomScaleNormal="70" zoomScaleSheetLayoutView="90" workbookViewId="0">
      <pane xSplit="1" ySplit="4" topLeftCell="B5" activePane="bottomRight" state="frozen"/>
      <selection pane="topRight" activeCell="J20" sqref="J19:J20"/>
      <selection pane="bottomLeft" activeCell="J20" sqref="J19:J20"/>
      <selection pane="bottomRight" activeCell="X54" sqref="X54"/>
    </sheetView>
  </sheetViews>
  <sheetFormatPr defaultRowHeight="13.2"/>
  <cols>
    <col min="1" max="1" width="12.44140625" customWidth="1"/>
    <col min="2" max="6" width="19" customWidth="1"/>
    <col min="7" max="12" width="15.88671875" customWidth="1"/>
    <col min="13" max="15" width="19" customWidth="1"/>
    <col min="16" max="16" width="9.44140625" style="339" customWidth="1"/>
    <col min="17" max="21" width="9.44140625" customWidth="1"/>
    <col min="22" max="26" width="19" customWidth="1"/>
  </cols>
  <sheetData>
    <row r="1" spans="1:26" ht="17.25" customHeight="1">
      <c r="A1" s="33" t="s">
        <v>395</v>
      </c>
      <c r="B1" s="2138" t="s">
        <v>570</v>
      </c>
      <c r="C1" s="2200" t="s">
        <v>571</v>
      </c>
      <c r="D1" s="2197" t="s">
        <v>572</v>
      </c>
      <c r="E1" s="2197" t="s">
        <v>573</v>
      </c>
      <c r="F1" s="2201" t="s">
        <v>574</v>
      </c>
      <c r="G1" s="2194" t="s">
        <v>575</v>
      </c>
      <c r="H1" s="2193" t="s">
        <v>576</v>
      </c>
      <c r="I1" s="2193" t="s">
        <v>577</v>
      </c>
      <c r="J1" s="2197" t="s">
        <v>578</v>
      </c>
      <c r="K1" s="22" t="s">
        <v>579</v>
      </c>
      <c r="L1" s="24" t="s">
        <v>580</v>
      </c>
      <c r="M1" s="2196" t="s">
        <v>581</v>
      </c>
      <c r="N1" s="2179" t="s">
        <v>582</v>
      </c>
      <c r="O1" s="2193" t="s">
        <v>583</v>
      </c>
      <c r="P1" s="2208" t="s">
        <v>584</v>
      </c>
      <c r="Q1" s="2179" t="s">
        <v>585</v>
      </c>
      <c r="R1" s="2179" t="s">
        <v>586</v>
      </c>
      <c r="S1" s="2205" t="s">
        <v>587</v>
      </c>
      <c r="T1" s="2032" t="s">
        <v>588</v>
      </c>
      <c r="U1" s="2179" t="s">
        <v>589</v>
      </c>
      <c r="V1" s="2179" t="s">
        <v>590</v>
      </c>
      <c r="W1" s="2179" t="s">
        <v>591</v>
      </c>
      <c r="X1" s="2179" t="s">
        <v>592</v>
      </c>
      <c r="Y1" s="2205" t="s">
        <v>593</v>
      </c>
      <c r="Z1" s="2205" t="s">
        <v>594</v>
      </c>
    </row>
    <row r="2" spans="1:26" ht="17.25" customHeight="1">
      <c r="A2" s="40"/>
      <c r="B2" s="2164"/>
      <c r="C2" s="2116"/>
      <c r="D2" s="2198"/>
      <c r="E2" s="2203"/>
      <c r="F2" s="2195"/>
      <c r="G2" s="2135"/>
      <c r="H2" s="2128"/>
      <c r="I2" s="2128"/>
      <c r="J2" s="2198"/>
      <c r="K2" s="409" t="s">
        <v>595</v>
      </c>
      <c r="L2" s="2195" t="s">
        <v>596</v>
      </c>
      <c r="M2" s="2164"/>
      <c r="N2" s="2116"/>
      <c r="O2" s="2128"/>
      <c r="P2" s="2209"/>
      <c r="Q2" s="2116"/>
      <c r="R2" s="2116"/>
      <c r="S2" s="2206"/>
      <c r="T2" s="2033"/>
      <c r="U2" s="2116"/>
      <c r="V2" s="2116"/>
      <c r="W2" s="2116"/>
      <c r="X2" s="2116"/>
      <c r="Y2" s="2206"/>
      <c r="Z2" s="2206"/>
    </row>
    <row r="3" spans="1:26" ht="17.25" customHeight="1">
      <c r="A3" s="400"/>
      <c r="B3" s="2146"/>
      <c r="C3" s="2117"/>
      <c r="D3" s="2199"/>
      <c r="E3" s="2204"/>
      <c r="F3" s="2202"/>
      <c r="G3" s="2136"/>
      <c r="H3" s="2129"/>
      <c r="I3" s="2129"/>
      <c r="J3" s="2199"/>
      <c r="K3" s="23" t="s">
        <v>597</v>
      </c>
      <c r="L3" s="2095"/>
      <c r="M3" s="2146"/>
      <c r="N3" s="2117"/>
      <c r="O3" s="2129"/>
      <c r="P3" s="2210"/>
      <c r="Q3" s="2117"/>
      <c r="R3" s="2117"/>
      <c r="S3" s="2207"/>
      <c r="T3" s="2112"/>
      <c r="U3" s="2117"/>
      <c r="V3" s="2117"/>
      <c r="W3" s="2117"/>
      <c r="X3" s="2117"/>
      <c r="Y3" s="2207"/>
      <c r="Z3" s="2207"/>
    </row>
    <row r="4" spans="1:26" ht="17.25" customHeight="1">
      <c r="A4" s="42" t="s">
        <v>419</v>
      </c>
      <c r="B4" s="44" t="s">
        <v>598</v>
      </c>
      <c r="C4" s="38" t="s">
        <v>598</v>
      </c>
      <c r="D4" s="38" t="s">
        <v>598</v>
      </c>
      <c r="E4" s="38" t="s">
        <v>598</v>
      </c>
      <c r="F4" s="39" t="s">
        <v>598</v>
      </c>
      <c r="G4" s="44" t="s">
        <v>598</v>
      </c>
      <c r="H4" s="38" t="s">
        <v>598</v>
      </c>
      <c r="I4" s="38" t="s">
        <v>598</v>
      </c>
      <c r="J4" s="38" t="s">
        <v>598</v>
      </c>
      <c r="K4" s="38" t="s">
        <v>598</v>
      </c>
      <c r="L4" s="50" t="s">
        <v>599</v>
      </c>
      <c r="M4" s="44" t="s">
        <v>598</v>
      </c>
      <c r="N4" s="38" t="s">
        <v>598</v>
      </c>
      <c r="O4" s="38" t="s">
        <v>598</v>
      </c>
      <c r="P4" s="49"/>
      <c r="Q4" s="38" t="s">
        <v>137</v>
      </c>
      <c r="R4" s="38" t="s">
        <v>137</v>
      </c>
      <c r="S4" s="39" t="s">
        <v>137</v>
      </c>
      <c r="T4" s="44" t="s">
        <v>137</v>
      </c>
      <c r="U4" s="38" t="s">
        <v>137</v>
      </c>
      <c r="V4" s="38" t="s">
        <v>598</v>
      </c>
      <c r="W4" s="38" t="s">
        <v>598</v>
      </c>
      <c r="X4" s="38" t="s">
        <v>598</v>
      </c>
      <c r="Y4" s="39" t="s">
        <v>598</v>
      </c>
      <c r="Z4" s="39" t="s">
        <v>598</v>
      </c>
    </row>
    <row r="5" spans="1:26" ht="15.75" customHeight="1">
      <c r="A5" s="127" t="s">
        <v>147</v>
      </c>
      <c r="B5" s="158">
        <v>150163194</v>
      </c>
      <c r="C5" s="142">
        <v>146551705</v>
      </c>
      <c r="D5" s="241">
        <v>3611489</v>
      </c>
      <c r="E5" s="142">
        <v>374120</v>
      </c>
      <c r="F5" s="152">
        <v>3237369</v>
      </c>
      <c r="G5" s="283">
        <v>92751</v>
      </c>
      <c r="H5" s="142">
        <v>1561865</v>
      </c>
      <c r="I5" s="142">
        <v>0</v>
      </c>
      <c r="J5" s="142">
        <v>1000000</v>
      </c>
      <c r="K5" s="159">
        <v>654616</v>
      </c>
      <c r="L5" s="179" t="s">
        <v>600</v>
      </c>
      <c r="M5" s="158">
        <v>60777645</v>
      </c>
      <c r="N5" s="142">
        <v>29194615</v>
      </c>
      <c r="O5" s="142">
        <v>70592618</v>
      </c>
      <c r="P5" s="167">
        <v>0.48099999999999998</v>
      </c>
      <c r="Q5" s="168">
        <v>95</v>
      </c>
      <c r="R5" s="168">
        <v>11.7</v>
      </c>
      <c r="S5" s="139">
        <v>4.5999999999999996</v>
      </c>
      <c r="T5" s="169">
        <v>5.0999999999999996</v>
      </c>
      <c r="U5" s="168">
        <v>37.4</v>
      </c>
      <c r="V5" s="142">
        <v>15803636</v>
      </c>
      <c r="W5" s="142">
        <v>127001989</v>
      </c>
      <c r="X5" s="348">
        <v>200000</v>
      </c>
      <c r="Y5" s="152">
        <v>55971236</v>
      </c>
      <c r="Z5" s="152">
        <v>9035526</v>
      </c>
    </row>
    <row r="6" spans="1:26" ht="15.75" customHeight="1">
      <c r="A6" s="369" t="s">
        <v>149</v>
      </c>
      <c r="B6" s="501">
        <v>192603474</v>
      </c>
      <c r="C6" s="530">
        <v>188381368</v>
      </c>
      <c r="D6" s="530">
        <v>4222106</v>
      </c>
      <c r="E6" s="530">
        <v>337105</v>
      </c>
      <c r="F6" s="1716">
        <v>3885001</v>
      </c>
      <c r="G6" s="501">
        <v>-2624611</v>
      </c>
      <c r="H6" s="530">
        <v>13068</v>
      </c>
      <c r="I6" s="530">
        <v>0</v>
      </c>
      <c r="J6" s="530">
        <v>0</v>
      </c>
      <c r="K6" s="530">
        <v>-2611543</v>
      </c>
      <c r="L6" s="1746" t="s">
        <v>601</v>
      </c>
      <c r="M6" s="501">
        <v>70658931</v>
      </c>
      <c r="N6" s="530">
        <v>38019114</v>
      </c>
      <c r="O6" s="530">
        <v>83119681</v>
      </c>
      <c r="P6" s="610">
        <v>0.53600000000000003</v>
      </c>
      <c r="Q6" s="611">
        <v>93.3</v>
      </c>
      <c r="R6" s="611">
        <v>11.3</v>
      </c>
      <c r="S6" s="1747">
        <v>4.7</v>
      </c>
      <c r="T6" s="1400">
        <v>8.5</v>
      </c>
      <c r="U6" s="611">
        <v>82</v>
      </c>
      <c r="V6" s="530">
        <v>15362670</v>
      </c>
      <c r="W6" s="530">
        <v>170741183</v>
      </c>
      <c r="X6" s="530" t="s">
        <v>148</v>
      </c>
      <c r="Y6" s="1716">
        <v>30927193</v>
      </c>
      <c r="Z6" s="1716">
        <v>8850418</v>
      </c>
    </row>
    <row r="7" spans="1:26" ht="15.75" customHeight="1">
      <c r="A7" s="127" t="s">
        <v>150</v>
      </c>
      <c r="B7" s="238">
        <v>137545820</v>
      </c>
      <c r="C7" s="241">
        <v>132019553</v>
      </c>
      <c r="D7" s="241">
        <v>5526267</v>
      </c>
      <c r="E7" s="241">
        <v>374806</v>
      </c>
      <c r="F7" s="1721">
        <v>5151461</v>
      </c>
      <c r="G7" s="238">
        <v>277260</v>
      </c>
      <c r="H7" s="241">
        <v>298</v>
      </c>
      <c r="I7" s="241">
        <v>0</v>
      </c>
      <c r="J7" s="241">
        <v>1500000</v>
      </c>
      <c r="K7" s="241">
        <v>-1222442</v>
      </c>
      <c r="L7" s="1748" t="s">
        <v>600</v>
      </c>
      <c r="M7" s="238">
        <v>57394788</v>
      </c>
      <c r="N7" s="241">
        <v>32170127</v>
      </c>
      <c r="O7" s="241">
        <v>68037049</v>
      </c>
      <c r="P7" s="249">
        <v>0.55600000000000005</v>
      </c>
      <c r="Q7" s="242">
        <v>89.759119923597225</v>
      </c>
      <c r="R7" s="242">
        <v>10.5</v>
      </c>
      <c r="S7" s="1683">
        <v>7.6</v>
      </c>
      <c r="T7" s="250">
        <v>12.1</v>
      </c>
      <c r="U7" s="242">
        <v>77.599999999999994</v>
      </c>
      <c r="V7" s="241">
        <v>10054979</v>
      </c>
      <c r="W7" s="241">
        <v>123425153</v>
      </c>
      <c r="X7" s="241">
        <v>485000</v>
      </c>
      <c r="Y7" s="1721">
        <v>38787798</v>
      </c>
      <c r="Z7" s="1721">
        <v>5585109</v>
      </c>
    </row>
    <row r="8" spans="1:26" ht="15.75" customHeight="1">
      <c r="A8" s="369" t="s">
        <v>152</v>
      </c>
      <c r="B8" s="103">
        <v>110995725</v>
      </c>
      <c r="C8" s="105">
        <v>106764951</v>
      </c>
      <c r="D8" s="105">
        <f>B8-C8</f>
        <v>4230774</v>
      </c>
      <c r="E8" s="105">
        <v>950135</v>
      </c>
      <c r="F8" s="1724">
        <f>D8-E8</f>
        <v>3280639</v>
      </c>
      <c r="G8" s="103">
        <v>91581</v>
      </c>
      <c r="H8" s="105">
        <v>601843</v>
      </c>
      <c r="I8" s="105" t="s">
        <v>153</v>
      </c>
      <c r="J8" s="105">
        <v>600000</v>
      </c>
      <c r="K8" s="105">
        <f>G8+H8+I8-J8</f>
        <v>93424</v>
      </c>
      <c r="L8" s="1749" t="s">
        <v>600</v>
      </c>
      <c r="M8" s="103">
        <v>44046447</v>
      </c>
      <c r="N8" s="105">
        <v>28349339</v>
      </c>
      <c r="O8" s="105">
        <v>53522683</v>
      </c>
      <c r="P8" s="200">
        <v>0.65100000000000002</v>
      </c>
      <c r="Q8" s="104">
        <v>91.4</v>
      </c>
      <c r="R8" s="104">
        <v>9.6</v>
      </c>
      <c r="S8" s="1694">
        <v>6.1</v>
      </c>
      <c r="T8" s="121">
        <v>8.6</v>
      </c>
      <c r="U8" s="104">
        <v>96.3</v>
      </c>
      <c r="V8" s="105">
        <v>16893418</v>
      </c>
      <c r="W8" s="1723">
        <v>122207583</v>
      </c>
      <c r="X8" s="105" t="s">
        <v>153</v>
      </c>
      <c r="Y8" s="1724">
        <v>10330979</v>
      </c>
      <c r="Z8" s="1380">
        <v>3400871</v>
      </c>
    </row>
    <row r="9" spans="1:26" ht="15.75" customHeight="1">
      <c r="A9" s="127" t="s">
        <v>154</v>
      </c>
      <c r="B9" s="238">
        <v>139303721</v>
      </c>
      <c r="C9" s="241">
        <v>136577158</v>
      </c>
      <c r="D9" s="241">
        <v>2726563</v>
      </c>
      <c r="E9" s="241">
        <v>907724</v>
      </c>
      <c r="F9" s="1712">
        <v>1818839</v>
      </c>
      <c r="G9" s="238">
        <v>225507</v>
      </c>
      <c r="H9" s="241">
        <v>1082496</v>
      </c>
      <c r="I9" s="241">
        <v>2661</v>
      </c>
      <c r="J9" s="241">
        <v>3102926</v>
      </c>
      <c r="K9" s="141">
        <v>-1792262</v>
      </c>
      <c r="L9" s="1748" t="s">
        <v>600</v>
      </c>
      <c r="M9" s="238">
        <v>53225840</v>
      </c>
      <c r="N9" s="241">
        <v>38579778</v>
      </c>
      <c r="O9" s="241">
        <v>66367120</v>
      </c>
      <c r="P9" s="249">
        <v>0.73</v>
      </c>
      <c r="Q9" s="242">
        <v>96.4</v>
      </c>
      <c r="R9" s="242">
        <v>11.4</v>
      </c>
      <c r="S9" s="1683">
        <v>2.7</v>
      </c>
      <c r="T9" s="250">
        <v>10.199999999999999</v>
      </c>
      <c r="U9" s="242">
        <v>71.2</v>
      </c>
      <c r="V9" s="241">
        <v>15718029</v>
      </c>
      <c r="W9" s="1720">
        <v>140306450</v>
      </c>
      <c r="X9" s="241" t="s">
        <v>153</v>
      </c>
      <c r="Y9" s="1721">
        <v>34808624</v>
      </c>
      <c r="Z9" s="1721">
        <v>6822683</v>
      </c>
    </row>
    <row r="10" spans="1:26" ht="15.75" customHeight="1">
      <c r="A10" s="369" t="s">
        <v>155</v>
      </c>
      <c r="B10" s="103">
        <v>152422038</v>
      </c>
      <c r="C10" s="105">
        <v>149822795</v>
      </c>
      <c r="D10" s="105">
        <v>2599243</v>
      </c>
      <c r="E10" s="105">
        <v>762538</v>
      </c>
      <c r="F10" s="1724">
        <v>1836705</v>
      </c>
      <c r="G10" s="103">
        <v>-66760</v>
      </c>
      <c r="H10" s="105">
        <v>745478</v>
      </c>
      <c r="I10" s="105" t="s">
        <v>153</v>
      </c>
      <c r="J10" s="105">
        <v>842908</v>
      </c>
      <c r="K10" s="105">
        <v>-164190</v>
      </c>
      <c r="L10" s="1749" t="s">
        <v>600</v>
      </c>
      <c r="M10" s="103">
        <v>59841142</v>
      </c>
      <c r="N10" s="105">
        <v>39712917</v>
      </c>
      <c r="O10" s="105">
        <v>73071998</v>
      </c>
      <c r="P10" s="120">
        <v>0.65800000000000003</v>
      </c>
      <c r="Q10" s="104">
        <v>91.5</v>
      </c>
      <c r="R10" s="104">
        <v>14.1</v>
      </c>
      <c r="S10" s="1694">
        <v>2.5</v>
      </c>
      <c r="T10" s="121">
        <v>8.6</v>
      </c>
      <c r="U10" s="104">
        <v>94.7</v>
      </c>
      <c r="V10" s="105">
        <v>12453020</v>
      </c>
      <c r="W10" s="1723">
        <v>145080338</v>
      </c>
      <c r="X10" s="325" t="s">
        <v>153</v>
      </c>
      <c r="Y10" s="1724">
        <v>30296930</v>
      </c>
      <c r="Z10" s="1724">
        <v>4127482</v>
      </c>
    </row>
    <row r="11" spans="1:26" ht="15.75" customHeight="1">
      <c r="A11" s="230" t="s">
        <v>156</v>
      </c>
      <c r="B11" s="238">
        <v>120040990</v>
      </c>
      <c r="C11" s="241">
        <v>116397300</v>
      </c>
      <c r="D11" s="241">
        <v>3643690</v>
      </c>
      <c r="E11" s="241">
        <v>1105501</v>
      </c>
      <c r="F11" s="1721">
        <v>2538189</v>
      </c>
      <c r="G11" s="238">
        <v>-1214865</v>
      </c>
      <c r="H11" s="241">
        <v>1856270</v>
      </c>
      <c r="I11" s="241" t="s">
        <v>200</v>
      </c>
      <c r="J11" s="241">
        <v>1726874</v>
      </c>
      <c r="K11" s="241">
        <v>-1085469</v>
      </c>
      <c r="L11" s="1748" t="s">
        <v>600</v>
      </c>
      <c r="M11" s="238">
        <v>42785159</v>
      </c>
      <c r="N11" s="241">
        <v>32545077</v>
      </c>
      <c r="O11" s="241">
        <v>53644763</v>
      </c>
      <c r="P11" s="249">
        <v>0.75700000000000001</v>
      </c>
      <c r="Q11" s="557">
        <v>90.8</v>
      </c>
      <c r="R11" s="242">
        <v>13.7</v>
      </c>
      <c r="S11" s="1683">
        <v>4.7</v>
      </c>
      <c r="T11" s="250">
        <v>7.6</v>
      </c>
      <c r="U11" s="242">
        <v>97</v>
      </c>
      <c r="V11" s="241">
        <v>9717077</v>
      </c>
      <c r="W11" s="241">
        <v>109903007</v>
      </c>
      <c r="X11" s="241" t="s">
        <v>148</v>
      </c>
      <c r="Y11" s="1721">
        <v>38237060</v>
      </c>
      <c r="Z11" s="1721">
        <v>4384479</v>
      </c>
    </row>
    <row r="12" spans="1:26" ht="15.75" customHeight="1">
      <c r="A12" s="369" t="s">
        <v>157</v>
      </c>
      <c r="B12" s="627">
        <v>134771525</v>
      </c>
      <c r="C12" s="628">
        <v>124709832</v>
      </c>
      <c r="D12" s="628">
        <v>10061693</v>
      </c>
      <c r="E12" s="628">
        <v>3488895</v>
      </c>
      <c r="F12" s="1380">
        <v>6572798</v>
      </c>
      <c r="G12" s="627">
        <v>-1971743</v>
      </c>
      <c r="H12" s="628">
        <v>1500469</v>
      </c>
      <c r="I12" s="628" t="s">
        <v>148</v>
      </c>
      <c r="J12" s="628">
        <v>1500000</v>
      </c>
      <c r="K12" s="628">
        <v>-1971274</v>
      </c>
      <c r="L12" s="1750" t="s">
        <v>600</v>
      </c>
      <c r="M12" s="627">
        <v>48426530</v>
      </c>
      <c r="N12" s="628">
        <v>37379897</v>
      </c>
      <c r="O12" s="628">
        <v>60708743</v>
      </c>
      <c r="P12" s="629">
        <v>0.77400000000000002</v>
      </c>
      <c r="Q12" s="630">
        <v>92.7</v>
      </c>
      <c r="R12" s="630">
        <v>15.1</v>
      </c>
      <c r="S12" s="1685">
        <v>10.8</v>
      </c>
      <c r="T12" s="631">
        <v>2.2999999999999998</v>
      </c>
      <c r="U12" s="630">
        <v>2.7</v>
      </c>
      <c r="V12" s="628">
        <v>23381231</v>
      </c>
      <c r="W12" s="1379">
        <v>100130363</v>
      </c>
      <c r="X12" s="628" t="s">
        <v>148</v>
      </c>
      <c r="Y12" s="1380">
        <v>7608173</v>
      </c>
      <c r="Z12" s="1380">
        <v>6625552</v>
      </c>
    </row>
    <row r="13" spans="1:26" ht="15.75" customHeight="1">
      <c r="A13" s="230" t="s">
        <v>158</v>
      </c>
      <c r="B13" s="238">
        <v>156163710</v>
      </c>
      <c r="C13" s="241">
        <v>148796156</v>
      </c>
      <c r="D13" s="241">
        <v>7367554</v>
      </c>
      <c r="E13" s="241">
        <v>714228</v>
      </c>
      <c r="F13" s="1712">
        <v>6653326</v>
      </c>
      <c r="G13" s="238">
        <v>-247659</v>
      </c>
      <c r="H13" s="241">
        <v>6796131</v>
      </c>
      <c r="I13" s="241">
        <v>0</v>
      </c>
      <c r="J13" s="241">
        <v>6200000</v>
      </c>
      <c r="K13" s="141">
        <v>348472</v>
      </c>
      <c r="L13" s="1748" t="s">
        <v>600</v>
      </c>
      <c r="M13" s="238">
        <v>56204702</v>
      </c>
      <c r="N13" s="241">
        <v>46662022</v>
      </c>
      <c r="O13" s="241">
        <v>71642847</v>
      </c>
      <c r="P13" s="249">
        <v>0.83499999999999996</v>
      </c>
      <c r="Q13" s="242">
        <v>87.6</v>
      </c>
      <c r="R13" s="242">
        <v>12.4</v>
      </c>
      <c r="S13" s="1683">
        <v>9.3000000000000007</v>
      </c>
      <c r="T13" s="250">
        <v>1.9</v>
      </c>
      <c r="U13" s="136" t="s">
        <v>148</v>
      </c>
      <c r="V13" s="241">
        <v>28557307</v>
      </c>
      <c r="W13" s="1720">
        <v>92618553</v>
      </c>
      <c r="X13" s="241">
        <v>0</v>
      </c>
      <c r="Y13" s="1721">
        <v>26697803</v>
      </c>
      <c r="Z13" s="1721">
        <v>16176958</v>
      </c>
    </row>
    <row r="14" spans="1:26" ht="15.75" customHeight="1">
      <c r="A14" s="369" t="s">
        <v>160</v>
      </c>
      <c r="B14" s="103">
        <v>162309312</v>
      </c>
      <c r="C14" s="105">
        <v>155323600</v>
      </c>
      <c r="D14" s="105">
        <v>6985712</v>
      </c>
      <c r="E14" s="105">
        <v>786343</v>
      </c>
      <c r="F14" s="1724">
        <v>6199369</v>
      </c>
      <c r="G14" s="103">
        <v>-1949268</v>
      </c>
      <c r="H14" s="105">
        <v>7741098</v>
      </c>
      <c r="I14" s="105" t="s">
        <v>148</v>
      </c>
      <c r="J14" s="105">
        <v>4839676</v>
      </c>
      <c r="K14" s="105">
        <v>952154</v>
      </c>
      <c r="L14" s="1749" t="s">
        <v>600</v>
      </c>
      <c r="M14" s="103">
        <v>61750199</v>
      </c>
      <c r="N14" s="105">
        <v>49214587</v>
      </c>
      <c r="O14" s="105">
        <v>77992763</v>
      </c>
      <c r="P14" s="120">
        <v>0.79</v>
      </c>
      <c r="Q14" s="104">
        <v>91.1</v>
      </c>
      <c r="R14" s="104">
        <v>14.6</v>
      </c>
      <c r="S14" s="1694">
        <v>7.9</v>
      </c>
      <c r="T14" s="121">
        <v>8.6999999999999993</v>
      </c>
      <c r="U14" s="104" t="s">
        <v>148</v>
      </c>
      <c r="V14" s="105">
        <v>49309442</v>
      </c>
      <c r="W14" s="1723">
        <v>131488462</v>
      </c>
      <c r="X14" s="105">
        <v>380000</v>
      </c>
      <c r="Y14" s="1724">
        <v>6945623</v>
      </c>
      <c r="Z14" s="1724">
        <v>12442066</v>
      </c>
    </row>
    <row r="15" spans="1:26" ht="15.75" customHeight="1">
      <c r="A15" s="230" t="s">
        <v>162</v>
      </c>
      <c r="B15" s="238">
        <v>140461271</v>
      </c>
      <c r="C15" s="241">
        <v>135235114</v>
      </c>
      <c r="D15" s="241">
        <v>5226157</v>
      </c>
      <c r="E15" s="241">
        <v>967076</v>
      </c>
      <c r="F15" s="1721">
        <v>4259081</v>
      </c>
      <c r="G15" s="238">
        <v>-1790273</v>
      </c>
      <c r="H15" s="241">
        <v>3018092</v>
      </c>
      <c r="I15" s="241">
        <v>0</v>
      </c>
      <c r="J15" s="241">
        <v>1886888</v>
      </c>
      <c r="K15" s="241">
        <v>-659069</v>
      </c>
      <c r="L15" s="1748" t="s">
        <v>600</v>
      </c>
      <c r="M15" s="238">
        <v>47423700</v>
      </c>
      <c r="N15" s="241">
        <v>37661003</v>
      </c>
      <c r="O15" s="241">
        <v>60415657</v>
      </c>
      <c r="P15" s="249">
        <v>0.81</v>
      </c>
      <c r="Q15" s="242">
        <v>95.5</v>
      </c>
      <c r="R15" s="242">
        <v>13.2</v>
      </c>
      <c r="S15" s="1683">
        <v>7</v>
      </c>
      <c r="T15" s="250">
        <v>9.1999999999999993</v>
      </c>
      <c r="U15" s="242">
        <v>132.9</v>
      </c>
      <c r="V15" s="241">
        <v>6914508</v>
      </c>
      <c r="W15" s="1720">
        <v>149261113</v>
      </c>
      <c r="X15" s="241">
        <v>0</v>
      </c>
      <c r="Y15" s="1721">
        <v>42087269</v>
      </c>
      <c r="Z15" s="1721">
        <v>5755760</v>
      </c>
    </row>
    <row r="16" spans="1:26" ht="15.75" customHeight="1">
      <c r="A16" s="369" t="s">
        <v>164</v>
      </c>
      <c r="B16" s="103">
        <v>268708797</v>
      </c>
      <c r="C16" s="105">
        <v>261444038</v>
      </c>
      <c r="D16" s="105">
        <v>7264759</v>
      </c>
      <c r="E16" s="105">
        <v>3420568</v>
      </c>
      <c r="F16" s="1724">
        <v>3844191</v>
      </c>
      <c r="G16" s="103">
        <v>-2603996</v>
      </c>
      <c r="H16" s="105">
        <v>21150</v>
      </c>
      <c r="I16" s="105" t="s">
        <v>202</v>
      </c>
      <c r="J16" s="105">
        <v>4500000</v>
      </c>
      <c r="K16" s="105">
        <v>-7082846</v>
      </c>
      <c r="L16" s="1749" t="s">
        <v>600</v>
      </c>
      <c r="M16" s="103">
        <v>81722627</v>
      </c>
      <c r="N16" s="105">
        <v>79679551</v>
      </c>
      <c r="O16" s="105">
        <v>105084251</v>
      </c>
      <c r="P16" s="120">
        <v>0.97199999999999998</v>
      </c>
      <c r="Q16" s="104">
        <v>92.1</v>
      </c>
      <c r="R16" s="104">
        <v>11.6</v>
      </c>
      <c r="S16" s="1694">
        <v>3.7</v>
      </c>
      <c r="T16" s="121">
        <v>3.9</v>
      </c>
      <c r="U16" s="104">
        <v>43.1</v>
      </c>
      <c r="V16" s="105">
        <v>30457897</v>
      </c>
      <c r="W16" s="1723">
        <v>144321772</v>
      </c>
      <c r="X16" s="105">
        <v>350000</v>
      </c>
      <c r="Y16" s="1724">
        <v>28536622</v>
      </c>
      <c r="Z16" s="1724">
        <v>13002922</v>
      </c>
    </row>
    <row r="17" spans="1:26" ht="15.75" customHeight="1">
      <c r="A17" s="230" t="s">
        <v>166</v>
      </c>
      <c r="B17" s="554">
        <v>161792003</v>
      </c>
      <c r="C17" s="555">
        <v>155389274</v>
      </c>
      <c r="D17" s="555">
        <v>6402729</v>
      </c>
      <c r="E17" s="555">
        <v>1236405</v>
      </c>
      <c r="F17" s="1431">
        <v>5166324</v>
      </c>
      <c r="G17" s="554">
        <v>1020712</v>
      </c>
      <c r="H17" s="555">
        <v>43594</v>
      </c>
      <c r="I17" s="555">
        <v>0</v>
      </c>
      <c r="J17" s="555">
        <v>2687278</v>
      </c>
      <c r="K17" s="555">
        <v>-1622972</v>
      </c>
      <c r="L17" s="1751" t="s">
        <v>600</v>
      </c>
      <c r="M17" s="554">
        <v>62190861</v>
      </c>
      <c r="N17" s="555">
        <v>49009960</v>
      </c>
      <c r="O17" s="555">
        <v>78628898</v>
      </c>
      <c r="P17" s="644">
        <v>0.79200000000000004</v>
      </c>
      <c r="Q17" s="557">
        <v>95.6</v>
      </c>
      <c r="R17" s="557">
        <v>13.6</v>
      </c>
      <c r="S17" s="1682">
        <v>6.6</v>
      </c>
      <c r="T17" s="645">
        <v>8.1999999999999993</v>
      </c>
      <c r="U17" s="557">
        <v>59.3</v>
      </c>
      <c r="V17" s="555">
        <v>14006067</v>
      </c>
      <c r="W17" s="1539">
        <v>152657722</v>
      </c>
      <c r="X17" s="555">
        <v>300000</v>
      </c>
      <c r="Y17" s="1431">
        <v>10804039</v>
      </c>
      <c r="Z17" s="1431">
        <v>7851706</v>
      </c>
    </row>
    <row r="18" spans="1:26" ht="15.75" customHeight="1">
      <c r="A18" s="369" t="s">
        <v>167</v>
      </c>
      <c r="B18" s="75">
        <v>180343287</v>
      </c>
      <c r="C18" s="76">
        <v>172707825</v>
      </c>
      <c r="D18" s="76">
        <v>7635462</v>
      </c>
      <c r="E18" s="76">
        <v>438624</v>
      </c>
      <c r="F18" s="1725">
        <v>7196838</v>
      </c>
      <c r="G18" s="75">
        <v>-990910</v>
      </c>
      <c r="H18" s="76">
        <v>10588</v>
      </c>
      <c r="I18" s="628" t="s">
        <v>153</v>
      </c>
      <c r="J18" s="76">
        <v>3671140</v>
      </c>
      <c r="K18" s="76">
        <v>-4651462</v>
      </c>
      <c r="L18" s="1752" t="s">
        <v>600</v>
      </c>
      <c r="M18" s="75">
        <v>68040032</v>
      </c>
      <c r="N18" s="76">
        <v>55742276</v>
      </c>
      <c r="O18" s="76">
        <v>86922140</v>
      </c>
      <c r="P18" s="200">
        <v>0.82499999999999996</v>
      </c>
      <c r="Q18" s="74">
        <v>96.7</v>
      </c>
      <c r="R18" s="74">
        <v>13.7</v>
      </c>
      <c r="S18" s="1686">
        <v>8.3000000000000007</v>
      </c>
      <c r="T18" s="201">
        <v>4.2</v>
      </c>
      <c r="U18" s="74">
        <v>29.5</v>
      </c>
      <c r="V18" s="76">
        <v>16342871</v>
      </c>
      <c r="W18" s="1726">
        <v>147351348</v>
      </c>
      <c r="X18" s="76" t="s">
        <v>153</v>
      </c>
      <c r="Y18" s="1725">
        <v>23379127</v>
      </c>
      <c r="Z18" s="1725">
        <v>6562128</v>
      </c>
    </row>
    <row r="19" spans="1:26" ht="15.75" customHeight="1">
      <c r="A19" s="230" t="s">
        <v>173</v>
      </c>
      <c r="B19" s="140">
        <v>130378426</v>
      </c>
      <c r="C19" s="141">
        <v>121558311</v>
      </c>
      <c r="D19" s="241">
        <v>8820115</v>
      </c>
      <c r="E19" s="141">
        <v>273357</v>
      </c>
      <c r="F19" s="1721">
        <v>8546758</v>
      </c>
      <c r="G19" s="140">
        <v>871497</v>
      </c>
      <c r="H19" s="141">
        <v>645751</v>
      </c>
      <c r="I19" s="141">
        <v>0</v>
      </c>
      <c r="J19" s="141">
        <v>0</v>
      </c>
      <c r="K19" s="141">
        <v>1517248</v>
      </c>
      <c r="L19" s="1753" t="s">
        <v>600</v>
      </c>
      <c r="M19" s="140">
        <v>52535834</v>
      </c>
      <c r="N19" s="141">
        <v>49748279</v>
      </c>
      <c r="O19" s="141">
        <v>67518828</v>
      </c>
      <c r="P19" s="170">
        <v>0.94799999999999995</v>
      </c>
      <c r="Q19" s="136">
        <v>98.9</v>
      </c>
      <c r="R19" s="136">
        <v>16.899999999999999</v>
      </c>
      <c r="S19" s="1677">
        <v>12.7</v>
      </c>
      <c r="T19" s="171">
        <v>6.4</v>
      </c>
      <c r="U19" s="136">
        <v>63.1</v>
      </c>
      <c r="V19" s="141">
        <v>8408751</v>
      </c>
      <c r="W19" s="141">
        <v>90863988</v>
      </c>
      <c r="X19" s="141">
        <v>0</v>
      </c>
      <c r="Y19" s="1712">
        <v>29199777</v>
      </c>
      <c r="Z19" s="1712">
        <v>4394854</v>
      </c>
    </row>
    <row r="20" spans="1:26" ht="15.75" customHeight="1">
      <c r="A20" s="369" t="s">
        <v>267</v>
      </c>
      <c r="B20" s="75">
        <v>244212253</v>
      </c>
      <c r="C20" s="76">
        <v>234444172</v>
      </c>
      <c r="D20" s="76">
        <v>9768081</v>
      </c>
      <c r="E20" s="76">
        <v>1333655</v>
      </c>
      <c r="F20" s="1725">
        <v>8434426</v>
      </c>
      <c r="G20" s="75">
        <v>-2063524</v>
      </c>
      <c r="H20" s="76">
        <v>4334</v>
      </c>
      <c r="I20" s="76">
        <v>0</v>
      </c>
      <c r="J20" s="76">
        <v>1025676</v>
      </c>
      <c r="K20" s="76">
        <v>-3084866</v>
      </c>
      <c r="L20" s="1752" t="s">
        <v>600</v>
      </c>
      <c r="M20" s="75">
        <v>88657134</v>
      </c>
      <c r="N20" s="76">
        <v>82905957</v>
      </c>
      <c r="O20" s="76">
        <v>114131188</v>
      </c>
      <c r="P20" s="200">
        <v>0.94</v>
      </c>
      <c r="Q20" s="74">
        <v>97.8</v>
      </c>
      <c r="R20" s="74">
        <v>13.4</v>
      </c>
      <c r="S20" s="1686">
        <v>7.4</v>
      </c>
      <c r="T20" s="201">
        <v>3.1</v>
      </c>
      <c r="U20" s="74">
        <v>6.7</v>
      </c>
      <c r="V20" s="76">
        <v>46412606</v>
      </c>
      <c r="W20" s="76">
        <v>174649677</v>
      </c>
      <c r="X20" s="76">
        <v>350000</v>
      </c>
      <c r="Y20" s="1725">
        <v>89763438</v>
      </c>
      <c r="Z20" s="1725">
        <v>13526846</v>
      </c>
    </row>
    <row r="21" spans="1:26" ht="15.75" customHeight="1">
      <c r="A21" s="230" t="s">
        <v>178</v>
      </c>
      <c r="B21" s="140">
        <v>133555579</v>
      </c>
      <c r="C21" s="141">
        <v>123562586</v>
      </c>
      <c r="D21" s="241">
        <v>9992993</v>
      </c>
      <c r="E21" s="141">
        <v>163292</v>
      </c>
      <c r="F21" s="1721">
        <v>9829701</v>
      </c>
      <c r="G21" s="140">
        <v>-1539617</v>
      </c>
      <c r="H21" s="141">
        <v>5450800</v>
      </c>
      <c r="I21" s="141" t="s">
        <v>153</v>
      </c>
      <c r="J21" s="141">
        <v>3278000</v>
      </c>
      <c r="K21" s="141">
        <v>633183</v>
      </c>
      <c r="L21" s="1753" t="s">
        <v>600</v>
      </c>
      <c r="M21" s="140">
        <v>50729250</v>
      </c>
      <c r="N21" s="141">
        <v>44731127</v>
      </c>
      <c r="O21" s="141">
        <v>65170729</v>
      </c>
      <c r="P21" s="170">
        <v>0.89300000000000002</v>
      </c>
      <c r="Q21" s="136">
        <v>89</v>
      </c>
      <c r="R21" s="136">
        <v>16.2</v>
      </c>
      <c r="S21" s="1677">
        <v>15.1</v>
      </c>
      <c r="T21" s="171">
        <v>6</v>
      </c>
      <c r="U21" s="136">
        <v>2.1</v>
      </c>
      <c r="V21" s="141">
        <v>14922499</v>
      </c>
      <c r="W21" s="141">
        <v>82751016</v>
      </c>
      <c r="X21" s="241">
        <v>60000</v>
      </c>
      <c r="Y21" s="1712">
        <v>13739519</v>
      </c>
      <c r="Z21" s="1712">
        <v>10828633</v>
      </c>
    </row>
    <row r="22" spans="1:26" ht="15.75" customHeight="1">
      <c r="A22" s="369" t="s">
        <v>179</v>
      </c>
      <c r="B22" s="103">
        <v>245437120</v>
      </c>
      <c r="C22" s="105">
        <v>238073168</v>
      </c>
      <c r="D22" s="105">
        <v>7363952</v>
      </c>
      <c r="E22" s="105">
        <v>768819</v>
      </c>
      <c r="F22" s="1724">
        <v>6595133</v>
      </c>
      <c r="G22" s="103">
        <v>-3489814</v>
      </c>
      <c r="H22" s="105">
        <v>58</v>
      </c>
      <c r="I22" s="105">
        <v>0</v>
      </c>
      <c r="J22" s="105">
        <v>0</v>
      </c>
      <c r="K22" s="105">
        <v>-3489756</v>
      </c>
      <c r="L22" s="1749" t="s">
        <v>600</v>
      </c>
      <c r="M22" s="103">
        <v>96741997</v>
      </c>
      <c r="N22" s="105">
        <v>88900842</v>
      </c>
      <c r="O22" s="105">
        <v>124872673</v>
      </c>
      <c r="P22" s="120">
        <v>0.92900000000000005</v>
      </c>
      <c r="Q22" s="104">
        <v>93.1</v>
      </c>
      <c r="R22" s="104">
        <v>16.3</v>
      </c>
      <c r="S22" s="1694">
        <v>5.3</v>
      </c>
      <c r="T22" s="121">
        <v>3.4</v>
      </c>
      <c r="U22" s="104" t="s">
        <v>148</v>
      </c>
      <c r="V22" s="105">
        <v>39306818</v>
      </c>
      <c r="W22" s="105">
        <v>178586781</v>
      </c>
      <c r="X22" s="105">
        <v>240000</v>
      </c>
      <c r="Y22" s="1724">
        <v>38897073</v>
      </c>
      <c r="Z22" s="1724">
        <v>24441753</v>
      </c>
    </row>
    <row r="23" spans="1:26" ht="15.75" customHeight="1">
      <c r="A23" s="230" t="s">
        <v>182</v>
      </c>
      <c r="B23" s="140">
        <v>164471229</v>
      </c>
      <c r="C23" s="141">
        <v>155887030</v>
      </c>
      <c r="D23" s="241">
        <v>8584199</v>
      </c>
      <c r="E23" s="141">
        <v>2670695</v>
      </c>
      <c r="F23" s="1721">
        <v>5913504</v>
      </c>
      <c r="G23" s="140">
        <v>421432</v>
      </c>
      <c r="H23" s="141">
        <v>4010</v>
      </c>
      <c r="I23" s="141" t="s">
        <v>153</v>
      </c>
      <c r="J23" s="141" t="s">
        <v>153</v>
      </c>
      <c r="K23" s="141">
        <v>425442</v>
      </c>
      <c r="L23" s="1753" t="s">
        <v>600</v>
      </c>
      <c r="M23" s="140">
        <v>65328158</v>
      </c>
      <c r="N23" s="141">
        <v>60134413</v>
      </c>
      <c r="O23" s="141">
        <v>84554432</v>
      </c>
      <c r="P23" s="170">
        <v>0.92700000000000005</v>
      </c>
      <c r="Q23" s="136">
        <v>89.8</v>
      </c>
      <c r="R23" s="136">
        <v>15.9</v>
      </c>
      <c r="S23" s="1677">
        <v>7</v>
      </c>
      <c r="T23" s="171">
        <v>2</v>
      </c>
      <c r="U23" s="136" t="s">
        <v>153</v>
      </c>
      <c r="V23" s="141">
        <v>40296388</v>
      </c>
      <c r="W23" s="141">
        <v>84751883</v>
      </c>
      <c r="X23" s="141" t="s">
        <v>153</v>
      </c>
      <c r="Y23" s="1712">
        <v>23572469</v>
      </c>
      <c r="Z23" s="1712">
        <v>16733739</v>
      </c>
    </row>
    <row r="24" spans="1:26" ht="15.75" customHeight="1">
      <c r="A24" s="369" t="s">
        <v>184</v>
      </c>
      <c r="B24" s="103">
        <v>237366330</v>
      </c>
      <c r="C24" s="105">
        <v>228077566</v>
      </c>
      <c r="D24" s="105">
        <v>9288764</v>
      </c>
      <c r="E24" s="105">
        <v>3266005</v>
      </c>
      <c r="F24" s="1724">
        <v>6022759</v>
      </c>
      <c r="G24" s="103">
        <v>-1495336</v>
      </c>
      <c r="H24" s="105">
        <v>4864481</v>
      </c>
      <c r="I24" s="105" t="s">
        <v>153</v>
      </c>
      <c r="J24" s="105" t="s">
        <v>153</v>
      </c>
      <c r="K24" s="105">
        <v>3369145</v>
      </c>
      <c r="L24" s="1749" t="s">
        <v>600</v>
      </c>
      <c r="M24" s="103">
        <v>87980687</v>
      </c>
      <c r="N24" s="105">
        <v>79411530</v>
      </c>
      <c r="O24" s="105">
        <v>113342333</v>
      </c>
      <c r="P24" s="120">
        <v>0.91400000000000003</v>
      </c>
      <c r="Q24" s="104">
        <v>86.7</v>
      </c>
      <c r="R24" s="104">
        <v>12.3</v>
      </c>
      <c r="S24" s="1694">
        <v>5.3</v>
      </c>
      <c r="T24" s="121">
        <v>-0.4</v>
      </c>
      <c r="U24" s="104" t="s">
        <v>153</v>
      </c>
      <c r="V24" s="105">
        <v>35737045</v>
      </c>
      <c r="W24" s="105">
        <v>137670763</v>
      </c>
      <c r="X24" s="105">
        <v>50000</v>
      </c>
      <c r="Y24" s="1724">
        <v>164214164</v>
      </c>
      <c r="Z24" s="1724">
        <v>19733968</v>
      </c>
    </row>
    <row r="25" spans="1:26" ht="15.75" customHeight="1">
      <c r="A25" s="230" t="s">
        <v>186</v>
      </c>
      <c r="B25" s="238">
        <v>180787447</v>
      </c>
      <c r="C25" s="241">
        <v>173275811</v>
      </c>
      <c r="D25" s="241">
        <f>B25-C25</f>
        <v>7511636</v>
      </c>
      <c r="E25" s="241">
        <v>528475</v>
      </c>
      <c r="F25" s="1721">
        <f>D25-E25</f>
        <v>6983161</v>
      </c>
      <c r="G25" s="238">
        <v>-1403384</v>
      </c>
      <c r="H25" s="241">
        <v>137</v>
      </c>
      <c r="I25" s="241">
        <v>0</v>
      </c>
      <c r="J25" s="241">
        <v>2311375</v>
      </c>
      <c r="K25" s="241">
        <f>G25+H25+I25-J25</f>
        <v>-3714622</v>
      </c>
      <c r="L25" s="1748" t="s">
        <v>600</v>
      </c>
      <c r="M25" s="238">
        <v>67861847</v>
      </c>
      <c r="N25" s="241">
        <v>50586105</v>
      </c>
      <c r="O25" s="241">
        <v>85392317</v>
      </c>
      <c r="P25" s="249">
        <v>0.76900000000000002</v>
      </c>
      <c r="Q25" s="242">
        <v>99.1</v>
      </c>
      <c r="R25" s="242">
        <v>16.2</v>
      </c>
      <c r="S25" s="1683">
        <v>8.1999999999999993</v>
      </c>
      <c r="T25" s="250">
        <v>5.5</v>
      </c>
      <c r="U25" s="242">
        <v>17.100000000000001</v>
      </c>
      <c r="V25" s="241">
        <v>18453833</v>
      </c>
      <c r="W25" s="241">
        <v>190364392</v>
      </c>
      <c r="X25" s="149" t="s">
        <v>148</v>
      </c>
      <c r="Y25" s="1721">
        <v>32223177</v>
      </c>
      <c r="Z25" s="1721">
        <v>10880340</v>
      </c>
    </row>
    <row r="26" spans="1:26" ht="15.75" customHeight="1">
      <c r="A26" s="369" t="s">
        <v>187</v>
      </c>
      <c r="B26" s="103">
        <v>190208167</v>
      </c>
      <c r="C26" s="105">
        <v>185526848</v>
      </c>
      <c r="D26" s="105">
        <v>4681319</v>
      </c>
      <c r="E26" s="105">
        <v>1142965</v>
      </c>
      <c r="F26" s="1725">
        <v>3538354</v>
      </c>
      <c r="G26" s="103">
        <v>105475</v>
      </c>
      <c r="H26" s="105">
        <v>500534</v>
      </c>
      <c r="I26" s="105">
        <v>12549</v>
      </c>
      <c r="J26" s="105">
        <v>0</v>
      </c>
      <c r="K26" s="105">
        <v>618558</v>
      </c>
      <c r="L26" s="1749" t="s">
        <v>600</v>
      </c>
      <c r="M26" s="103">
        <v>81611857</v>
      </c>
      <c r="N26" s="105">
        <v>65583049</v>
      </c>
      <c r="O26" s="105">
        <v>103405647</v>
      </c>
      <c r="P26" s="120">
        <v>0.80800000000000005</v>
      </c>
      <c r="Q26" s="104">
        <v>90.9</v>
      </c>
      <c r="R26" s="104">
        <v>14</v>
      </c>
      <c r="S26" s="1694">
        <v>3.42</v>
      </c>
      <c r="T26" s="121">
        <v>8</v>
      </c>
      <c r="U26" s="104">
        <v>94.9</v>
      </c>
      <c r="V26" s="105">
        <v>29760297</v>
      </c>
      <c r="W26" s="105">
        <v>235383562</v>
      </c>
      <c r="X26" s="105">
        <v>200000</v>
      </c>
      <c r="Y26" s="1724">
        <v>37421363</v>
      </c>
      <c r="Z26" s="1724">
        <v>10256269</v>
      </c>
    </row>
    <row r="27" spans="1:26" ht="15.75" customHeight="1">
      <c r="A27" s="230" t="s">
        <v>269</v>
      </c>
      <c r="B27" s="140">
        <v>243774504</v>
      </c>
      <c r="C27" s="141">
        <v>237252022</v>
      </c>
      <c r="D27" s="241">
        <v>6522482</v>
      </c>
      <c r="E27" s="141">
        <v>2194656</v>
      </c>
      <c r="F27" s="1721">
        <v>4327826</v>
      </c>
      <c r="G27" s="140">
        <v>-239093</v>
      </c>
      <c r="H27" s="141">
        <v>4458689</v>
      </c>
      <c r="I27" s="162">
        <v>1517750</v>
      </c>
      <c r="J27" s="141">
        <v>0</v>
      </c>
      <c r="K27" s="141">
        <v>5737346</v>
      </c>
      <c r="L27" s="1753" t="s">
        <v>600</v>
      </c>
      <c r="M27" s="554">
        <v>81279846</v>
      </c>
      <c r="N27" s="555">
        <v>70257531</v>
      </c>
      <c r="O27" s="141">
        <v>104780838</v>
      </c>
      <c r="P27" s="170">
        <v>0.875</v>
      </c>
      <c r="Q27" s="136">
        <v>87.9</v>
      </c>
      <c r="R27" s="136">
        <v>9.6999999999999993</v>
      </c>
      <c r="S27" s="1677">
        <v>4.0999999999999996</v>
      </c>
      <c r="T27" s="171">
        <v>4.3</v>
      </c>
      <c r="U27" s="136">
        <v>23.6</v>
      </c>
      <c r="V27" s="141">
        <v>40713338</v>
      </c>
      <c r="W27" s="141">
        <v>216645566</v>
      </c>
      <c r="X27" s="141">
        <v>31073</v>
      </c>
      <c r="Y27" s="1712">
        <v>10242239</v>
      </c>
      <c r="Z27" s="1712">
        <v>6850949</v>
      </c>
    </row>
    <row r="28" spans="1:26" ht="15.75" customHeight="1">
      <c r="A28" s="369" t="s">
        <v>270</v>
      </c>
      <c r="B28" s="75">
        <v>126286682</v>
      </c>
      <c r="C28" s="76">
        <v>123932287</v>
      </c>
      <c r="D28" s="76">
        <v>2354395</v>
      </c>
      <c r="E28" s="76">
        <v>389406</v>
      </c>
      <c r="F28" s="1725">
        <v>1964989</v>
      </c>
      <c r="G28" s="75">
        <v>-1600148</v>
      </c>
      <c r="H28" s="76">
        <v>600060</v>
      </c>
      <c r="I28" s="76">
        <v>1407128</v>
      </c>
      <c r="J28" s="76" t="s">
        <v>148</v>
      </c>
      <c r="K28" s="76">
        <v>407040</v>
      </c>
      <c r="L28" s="1752" t="s">
        <v>600</v>
      </c>
      <c r="M28" s="75">
        <v>49343725</v>
      </c>
      <c r="N28" s="76">
        <v>38917332</v>
      </c>
      <c r="O28" s="76">
        <v>62653564</v>
      </c>
      <c r="P28" s="200">
        <v>0.8</v>
      </c>
      <c r="Q28" s="74">
        <v>93.1</v>
      </c>
      <c r="R28" s="74">
        <v>15.4</v>
      </c>
      <c r="S28" s="1686">
        <v>3.1</v>
      </c>
      <c r="T28" s="631">
        <v>10.8</v>
      </c>
      <c r="U28" s="74">
        <v>43.5</v>
      </c>
      <c r="V28" s="76">
        <v>12571406</v>
      </c>
      <c r="W28" s="76">
        <v>132819997</v>
      </c>
      <c r="X28" s="76">
        <v>230000</v>
      </c>
      <c r="Y28" s="1725">
        <v>54924156</v>
      </c>
      <c r="Z28" s="1725">
        <v>3404600</v>
      </c>
    </row>
    <row r="29" spans="1:26" ht="15.75" customHeight="1">
      <c r="A29" s="230" t="s">
        <v>271</v>
      </c>
      <c r="B29" s="140">
        <v>87314176</v>
      </c>
      <c r="C29" s="141">
        <v>85316489</v>
      </c>
      <c r="D29" s="241">
        <f>B29-C29</f>
        <v>1997687</v>
      </c>
      <c r="E29" s="141">
        <v>213961</v>
      </c>
      <c r="F29" s="1721">
        <f>D29-E29</f>
        <v>1783726</v>
      </c>
      <c r="G29" s="140">
        <v>-1873008</v>
      </c>
      <c r="H29" s="141">
        <v>941</v>
      </c>
      <c r="I29" s="141" t="s">
        <v>148</v>
      </c>
      <c r="J29" s="141" t="s">
        <v>148</v>
      </c>
      <c r="K29" s="141">
        <v>-1872067</v>
      </c>
      <c r="L29" s="1753" t="s">
        <v>600</v>
      </c>
      <c r="M29" s="140">
        <v>35795952</v>
      </c>
      <c r="N29" s="141">
        <v>25613393</v>
      </c>
      <c r="O29" s="141">
        <v>44849728</v>
      </c>
      <c r="P29" s="170">
        <v>0.72099999999999997</v>
      </c>
      <c r="Q29" s="136">
        <v>93.8</v>
      </c>
      <c r="R29" s="136">
        <v>13.6</v>
      </c>
      <c r="S29" s="1677">
        <v>3.9</v>
      </c>
      <c r="T29" s="171">
        <v>8</v>
      </c>
      <c r="U29" s="136">
        <v>24.2</v>
      </c>
      <c r="V29" s="141">
        <v>17532519</v>
      </c>
      <c r="W29" s="141">
        <v>72350945</v>
      </c>
      <c r="X29" s="141" t="s">
        <v>148</v>
      </c>
      <c r="Y29" s="1712" t="s">
        <v>148</v>
      </c>
      <c r="Z29" s="1712">
        <v>5372670</v>
      </c>
    </row>
    <row r="30" spans="1:26" ht="15.75" customHeight="1">
      <c r="A30" s="369" t="s">
        <v>193</v>
      </c>
      <c r="B30" s="75">
        <v>170676355</v>
      </c>
      <c r="C30" s="76">
        <v>165123960</v>
      </c>
      <c r="D30" s="76">
        <v>5552395</v>
      </c>
      <c r="E30" s="76">
        <v>1758529</v>
      </c>
      <c r="F30" s="1725">
        <v>3793866</v>
      </c>
      <c r="G30" s="75">
        <v>-237106</v>
      </c>
      <c r="H30" s="76">
        <v>12757</v>
      </c>
      <c r="I30" s="76">
        <v>0</v>
      </c>
      <c r="J30" s="76">
        <v>0</v>
      </c>
      <c r="K30" s="76">
        <v>-224349</v>
      </c>
      <c r="L30" s="1752" t="s">
        <v>600</v>
      </c>
      <c r="M30" s="75">
        <v>72825780</v>
      </c>
      <c r="N30" s="76">
        <v>52475452</v>
      </c>
      <c r="O30" s="76">
        <v>90613583</v>
      </c>
      <c r="P30" s="200">
        <v>0.72</v>
      </c>
      <c r="Q30" s="74">
        <v>90.6</v>
      </c>
      <c r="R30" s="74">
        <v>15.7</v>
      </c>
      <c r="S30" s="1686">
        <v>4.2</v>
      </c>
      <c r="T30" s="201">
        <v>4.9000000000000004</v>
      </c>
      <c r="U30" s="74">
        <v>27.7</v>
      </c>
      <c r="V30" s="76">
        <v>41781797</v>
      </c>
      <c r="W30" s="76">
        <v>140687170</v>
      </c>
      <c r="X30" s="76">
        <v>0</v>
      </c>
      <c r="Y30" s="1725">
        <v>22267525</v>
      </c>
      <c r="Z30" s="1725">
        <v>17800385</v>
      </c>
    </row>
    <row r="31" spans="1:26" ht="15.75" customHeight="1">
      <c r="A31" s="230" t="s">
        <v>272</v>
      </c>
      <c r="B31" s="238">
        <v>115090206</v>
      </c>
      <c r="C31" s="241">
        <v>112001774</v>
      </c>
      <c r="D31" s="241">
        <v>3088432</v>
      </c>
      <c r="E31" s="241">
        <v>707984</v>
      </c>
      <c r="F31" s="1721">
        <v>2380448</v>
      </c>
      <c r="G31" s="238">
        <v>-160106</v>
      </c>
      <c r="H31" s="241">
        <v>1438678</v>
      </c>
      <c r="I31" s="666" t="s">
        <v>153</v>
      </c>
      <c r="J31" s="241">
        <v>1385370</v>
      </c>
      <c r="K31" s="241">
        <v>-106798</v>
      </c>
      <c r="L31" s="1748" t="s">
        <v>600</v>
      </c>
      <c r="M31" s="238">
        <v>48018469</v>
      </c>
      <c r="N31" s="241">
        <v>33885692</v>
      </c>
      <c r="O31" s="241">
        <v>59543455</v>
      </c>
      <c r="P31" s="249">
        <v>0.70899999999999996</v>
      </c>
      <c r="Q31" s="242">
        <v>86.9</v>
      </c>
      <c r="R31" s="242">
        <v>15.4</v>
      </c>
      <c r="S31" s="1683">
        <v>4</v>
      </c>
      <c r="T31" s="250">
        <v>3.4</v>
      </c>
      <c r="U31" s="667" t="s">
        <v>153</v>
      </c>
      <c r="V31" s="241">
        <v>35706536</v>
      </c>
      <c r="W31" s="241">
        <v>71439393</v>
      </c>
      <c r="X31" s="666" t="s">
        <v>153</v>
      </c>
      <c r="Y31" s="1721">
        <v>17807910</v>
      </c>
      <c r="Z31" s="1721">
        <v>13807708</v>
      </c>
    </row>
    <row r="32" spans="1:26" ht="15.75" customHeight="1">
      <c r="A32" s="369" t="s">
        <v>196</v>
      </c>
      <c r="B32" s="75">
        <v>196878547</v>
      </c>
      <c r="C32" s="76">
        <v>188492600</v>
      </c>
      <c r="D32" s="76">
        <v>8385947</v>
      </c>
      <c r="E32" s="76">
        <v>430603</v>
      </c>
      <c r="F32" s="1725">
        <v>7955344</v>
      </c>
      <c r="G32" s="75">
        <v>-926043</v>
      </c>
      <c r="H32" s="76">
        <v>1000966</v>
      </c>
      <c r="I32" s="76" t="s">
        <v>148</v>
      </c>
      <c r="J32" s="76" t="s">
        <v>148</v>
      </c>
      <c r="K32" s="76">
        <v>74923</v>
      </c>
      <c r="L32" s="1752" t="s">
        <v>600</v>
      </c>
      <c r="M32" s="75">
        <v>69204882</v>
      </c>
      <c r="N32" s="76">
        <v>57395551</v>
      </c>
      <c r="O32" s="76">
        <v>88752918</v>
      </c>
      <c r="P32" s="200">
        <v>0.84</v>
      </c>
      <c r="Q32" s="74">
        <v>94.3</v>
      </c>
      <c r="R32" s="74">
        <v>15.1</v>
      </c>
      <c r="S32" s="1686">
        <v>9</v>
      </c>
      <c r="T32" s="201">
        <v>2.9</v>
      </c>
      <c r="U32" s="74" t="s">
        <v>148</v>
      </c>
      <c r="V32" s="76">
        <v>25093260</v>
      </c>
      <c r="W32" s="76">
        <v>148503913</v>
      </c>
      <c r="X32" s="76">
        <v>100000</v>
      </c>
      <c r="Y32" s="1725">
        <v>8202955</v>
      </c>
      <c r="Z32" s="1725">
        <v>9690661</v>
      </c>
    </row>
    <row r="33" spans="1:26" ht="15.75" customHeight="1">
      <c r="A33" s="230" t="s">
        <v>197</v>
      </c>
      <c r="B33" s="238">
        <v>143690763</v>
      </c>
      <c r="C33" s="241">
        <v>138054233</v>
      </c>
      <c r="D33" s="241">
        <v>5636530</v>
      </c>
      <c r="E33" s="241">
        <v>1481051</v>
      </c>
      <c r="F33" s="1721">
        <v>4155479</v>
      </c>
      <c r="G33" s="238">
        <v>-1078004</v>
      </c>
      <c r="H33" s="241">
        <v>15152</v>
      </c>
      <c r="I33" s="241" t="s">
        <v>148</v>
      </c>
      <c r="J33" s="241">
        <v>1159497</v>
      </c>
      <c r="K33" s="241">
        <v>-2222349</v>
      </c>
      <c r="L33" s="1748" t="s">
        <v>600</v>
      </c>
      <c r="M33" s="238">
        <v>58361297</v>
      </c>
      <c r="N33" s="241">
        <v>57375589</v>
      </c>
      <c r="O33" s="241">
        <v>74462303</v>
      </c>
      <c r="P33" s="249">
        <v>0.99</v>
      </c>
      <c r="Q33" s="242">
        <v>89.4</v>
      </c>
      <c r="R33" s="242">
        <v>15.2</v>
      </c>
      <c r="S33" s="1683">
        <v>5.6</v>
      </c>
      <c r="T33" s="250">
        <v>4.4000000000000004</v>
      </c>
      <c r="U33" s="242">
        <v>27.8</v>
      </c>
      <c r="V33" s="241">
        <v>15175767</v>
      </c>
      <c r="W33" s="241">
        <v>99290284</v>
      </c>
      <c r="X33" s="241">
        <v>240000</v>
      </c>
      <c r="Y33" s="1721">
        <v>97035451</v>
      </c>
      <c r="Z33" s="1721">
        <v>9149359</v>
      </c>
    </row>
    <row r="34" spans="1:26" ht="15.75" customHeight="1">
      <c r="A34" s="369" t="s">
        <v>198</v>
      </c>
      <c r="B34" s="75">
        <v>152576812</v>
      </c>
      <c r="C34" s="76">
        <v>143135806</v>
      </c>
      <c r="D34" s="76">
        <v>9441006</v>
      </c>
      <c r="E34" s="76">
        <v>2145069</v>
      </c>
      <c r="F34" s="1725">
        <v>7295937</v>
      </c>
      <c r="G34" s="75">
        <v>281505</v>
      </c>
      <c r="H34" s="76">
        <v>4949729</v>
      </c>
      <c r="I34" s="76" t="s">
        <v>202</v>
      </c>
      <c r="J34" s="76">
        <v>9815252</v>
      </c>
      <c r="K34" s="76">
        <v>-4584018</v>
      </c>
      <c r="L34" s="1752" t="s">
        <v>602</v>
      </c>
      <c r="M34" s="75">
        <v>60198138</v>
      </c>
      <c r="N34" s="76">
        <v>60303400</v>
      </c>
      <c r="O34" s="76">
        <v>76934656</v>
      </c>
      <c r="P34" s="200">
        <v>1.002</v>
      </c>
      <c r="Q34" s="74">
        <v>90.4</v>
      </c>
      <c r="R34" s="74">
        <v>15.8</v>
      </c>
      <c r="S34" s="1686">
        <v>9.5</v>
      </c>
      <c r="T34" s="201">
        <v>0.6</v>
      </c>
      <c r="U34" s="74" t="s">
        <v>202</v>
      </c>
      <c r="V34" s="76">
        <v>28213657</v>
      </c>
      <c r="W34" s="76">
        <v>55599385</v>
      </c>
      <c r="X34" s="76" t="s">
        <v>202</v>
      </c>
      <c r="Y34" s="1725">
        <v>27731039</v>
      </c>
      <c r="Z34" s="1725">
        <v>12100625</v>
      </c>
    </row>
    <row r="35" spans="1:26" ht="15.75" customHeight="1">
      <c r="A35" s="230" t="s">
        <v>199</v>
      </c>
      <c r="B35" s="238">
        <v>145599914</v>
      </c>
      <c r="C35" s="241">
        <v>139126187</v>
      </c>
      <c r="D35" s="241">
        <v>6473727</v>
      </c>
      <c r="E35" s="241">
        <v>507862</v>
      </c>
      <c r="F35" s="1721">
        <v>5965865</v>
      </c>
      <c r="G35" s="238">
        <v>-952689</v>
      </c>
      <c r="H35" s="241">
        <v>4304621</v>
      </c>
      <c r="I35" s="241" t="s">
        <v>148</v>
      </c>
      <c r="J35" s="241">
        <v>3200000</v>
      </c>
      <c r="K35" s="241">
        <v>151932</v>
      </c>
      <c r="L35" s="1748" t="s">
        <v>603</v>
      </c>
      <c r="M35" s="238">
        <v>62417517</v>
      </c>
      <c r="N35" s="241">
        <v>47750789</v>
      </c>
      <c r="O35" s="241">
        <v>78711980</v>
      </c>
      <c r="P35" s="249">
        <v>0.78800000000000003</v>
      </c>
      <c r="Q35" s="242">
        <v>89.1</v>
      </c>
      <c r="R35" s="242">
        <v>15.3</v>
      </c>
      <c r="S35" s="1683">
        <v>7.6</v>
      </c>
      <c r="T35" s="250">
        <v>3.4</v>
      </c>
      <c r="U35" s="242">
        <v>16.5</v>
      </c>
      <c r="V35" s="241">
        <v>16210901</v>
      </c>
      <c r="W35" s="241">
        <v>104064168</v>
      </c>
      <c r="X35" s="241">
        <v>0</v>
      </c>
      <c r="Y35" s="1721">
        <v>15968733</v>
      </c>
      <c r="Z35" s="1721">
        <v>6969789</v>
      </c>
    </row>
    <row r="36" spans="1:26" ht="15.75" customHeight="1">
      <c r="A36" s="369" t="s">
        <v>201</v>
      </c>
      <c r="B36" s="103">
        <v>216652764</v>
      </c>
      <c r="C36" s="105">
        <v>199882435</v>
      </c>
      <c r="D36" s="105">
        <v>16770329</v>
      </c>
      <c r="E36" s="105">
        <v>10705353</v>
      </c>
      <c r="F36" s="1724">
        <v>6064976</v>
      </c>
      <c r="G36" s="103">
        <v>-2859771</v>
      </c>
      <c r="H36" s="105">
        <v>4500000</v>
      </c>
      <c r="I36" s="105">
        <v>33000</v>
      </c>
      <c r="J36" s="105">
        <v>1700000</v>
      </c>
      <c r="K36" s="105">
        <v>-26771</v>
      </c>
      <c r="L36" s="1749" t="s">
        <v>602</v>
      </c>
      <c r="M36" s="103">
        <v>67825446</v>
      </c>
      <c r="N36" s="105">
        <v>81951553</v>
      </c>
      <c r="O36" s="105">
        <v>105453981</v>
      </c>
      <c r="P36" s="120">
        <v>1.3089999999999999</v>
      </c>
      <c r="Q36" s="104">
        <v>71.099999999999994</v>
      </c>
      <c r="R36" s="104">
        <v>15.5</v>
      </c>
      <c r="S36" s="1694">
        <v>5.8</v>
      </c>
      <c r="T36" s="121">
        <v>1.3</v>
      </c>
      <c r="U36" s="104" t="s">
        <v>148</v>
      </c>
      <c r="V36" s="105">
        <v>80333649</v>
      </c>
      <c r="W36" s="105">
        <v>47802339</v>
      </c>
      <c r="X36" s="105" t="s">
        <v>148</v>
      </c>
      <c r="Y36" s="1724">
        <v>89971406</v>
      </c>
      <c r="Z36" s="1724">
        <v>34900000</v>
      </c>
    </row>
    <row r="37" spans="1:26" ht="15.75" customHeight="1">
      <c r="A37" s="230" t="s">
        <v>203</v>
      </c>
      <c r="B37" s="140">
        <v>144160662</v>
      </c>
      <c r="C37" s="141">
        <v>139577615</v>
      </c>
      <c r="D37" s="241">
        <v>4583047</v>
      </c>
      <c r="E37" s="141">
        <v>886255</v>
      </c>
      <c r="F37" s="1721">
        <v>3696792</v>
      </c>
      <c r="G37" s="140">
        <v>940185</v>
      </c>
      <c r="H37" s="141">
        <v>1816273</v>
      </c>
      <c r="I37" s="141">
        <v>502514</v>
      </c>
      <c r="J37" s="141" t="s">
        <v>153</v>
      </c>
      <c r="K37" s="141">
        <v>1378602</v>
      </c>
      <c r="L37" s="1753" t="s">
        <v>600</v>
      </c>
      <c r="M37" s="140">
        <v>57883358</v>
      </c>
      <c r="N37" s="141">
        <v>45135834</v>
      </c>
      <c r="O37" s="141">
        <v>73295706</v>
      </c>
      <c r="P37" s="170">
        <v>0.79100000000000004</v>
      </c>
      <c r="Q37" s="136">
        <v>90.9</v>
      </c>
      <c r="R37" s="136">
        <v>16.899999999999999</v>
      </c>
      <c r="S37" s="1677">
        <v>5</v>
      </c>
      <c r="T37" s="171">
        <v>-0.5</v>
      </c>
      <c r="U37" s="136" t="s">
        <v>153</v>
      </c>
      <c r="V37" s="141">
        <v>31742883</v>
      </c>
      <c r="W37" s="141">
        <v>126668405</v>
      </c>
      <c r="X37" s="141" t="s">
        <v>153</v>
      </c>
      <c r="Y37" s="1712">
        <v>41900927</v>
      </c>
      <c r="Z37" s="1712">
        <v>9719526</v>
      </c>
    </row>
    <row r="38" spans="1:26" ht="15.75" customHeight="1">
      <c r="A38" s="369" t="s">
        <v>204</v>
      </c>
      <c r="B38" s="103">
        <v>186042090</v>
      </c>
      <c r="C38" s="105">
        <v>179343577</v>
      </c>
      <c r="D38" s="105">
        <v>6698513</v>
      </c>
      <c r="E38" s="105">
        <v>641237</v>
      </c>
      <c r="F38" s="1724">
        <v>6057276</v>
      </c>
      <c r="G38" s="103">
        <v>531189</v>
      </c>
      <c r="H38" s="105">
        <v>5119560</v>
      </c>
      <c r="I38" s="105">
        <v>0</v>
      </c>
      <c r="J38" s="105">
        <v>5430650</v>
      </c>
      <c r="K38" s="105">
        <v>220099</v>
      </c>
      <c r="L38" s="1752" t="s">
        <v>600</v>
      </c>
      <c r="M38" s="103">
        <v>69258915</v>
      </c>
      <c r="N38" s="105">
        <v>59416000</v>
      </c>
      <c r="O38" s="105">
        <v>86463175</v>
      </c>
      <c r="P38" s="120">
        <v>0.872</v>
      </c>
      <c r="Q38" s="74">
        <v>92.5</v>
      </c>
      <c r="R38" s="74">
        <v>15.3</v>
      </c>
      <c r="S38" s="1686">
        <v>6.7</v>
      </c>
      <c r="T38" s="201">
        <v>2.5</v>
      </c>
      <c r="U38" s="74" t="s">
        <v>153</v>
      </c>
      <c r="V38" s="105">
        <v>28509051</v>
      </c>
      <c r="W38" s="105">
        <v>89991307</v>
      </c>
      <c r="X38" s="105">
        <v>477384</v>
      </c>
      <c r="Y38" s="1724">
        <v>45988959</v>
      </c>
      <c r="Z38" s="1724">
        <v>12870886</v>
      </c>
    </row>
    <row r="39" spans="1:26" ht="15.75" customHeight="1">
      <c r="A39" s="230" t="s">
        <v>205</v>
      </c>
      <c r="B39" s="238">
        <v>160136757</v>
      </c>
      <c r="C39" s="241">
        <v>156308636</v>
      </c>
      <c r="D39" s="241">
        <v>3828121</v>
      </c>
      <c r="E39" s="241">
        <v>2345978</v>
      </c>
      <c r="F39" s="1721">
        <v>1482143</v>
      </c>
      <c r="G39" s="238">
        <v>-1131500</v>
      </c>
      <c r="H39" s="241">
        <v>1296653</v>
      </c>
      <c r="I39" s="141">
        <v>0</v>
      </c>
      <c r="J39" s="141">
        <v>0</v>
      </c>
      <c r="K39" s="241">
        <v>165153</v>
      </c>
      <c r="L39" s="1753" t="s">
        <v>603</v>
      </c>
      <c r="M39" s="238">
        <v>60221931</v>
      </c>
      <c r="N39" s="241">
        <v>57520219</v>
      </c>
      <c r="O39" s="241">
        <v>78624182</v>
      </c>
      <c r="P39" s="249">
        <v>0.96199999999999997</v>
      </c>
      <c r="Q39" s="242">
        <v>95.6</v>
      </c>
      <c r="R39" s="242">
        <v>16.899999999999999</v>
      </c>
      <c r="S39" s="1683">
        <v>1.9</v>
      </c>
      <c r="T39" s="250">
        <v>-0.3</v>
      </c>
      <c r="U39" s="141" t="s">
        <v>148</v>
      </c>
      <c r="V39" s="241">
        <v>35590406</v>
      </c>
      <c r="W39" s="241">
        <v>57075668</v>
      </c>
      <c r="X39" s="241">
        <v>463182</v>
      </c>
      <c r="Y39" s="1721">
        <v>57169997</v>
      </c>
      <c r="Z39" s="1721">
        <v>14303619</v>
      </c>
    </row>
    <row r="40" spans="1:26" ht="15.75" customHeight="1">
      <c r="A40" s="369" t="s">
        <v>208</v>
      </c>
      <c r="B40" s="103">
        <v>146739337</v>
      </c>
      <c r="C40" s="105">
        <v>145040626</v>
      </c>
      <c r="D40" s="105">
        <v>1698711</v>
      </c>
      <c r="E40" s="105">
        <v>666489</v>
      </c>
      <c r="F40" s="1724">
        <v>1032222</v>
      </c>
      <c r="G40" s="103">
        <v>-1542415</v>
      </c>
      <c r="H40" s="105">
        <v>1965756</v>
      </c>
      <c r="I40" s="105">
        <v>0</v>
      </c>
      <c r="J40" s="105">
        <v>3000000</v>
      </c>
      <c r="K40" s="105">
        <v>-2576659</v>
      </c>
      <c r="L40" s="1749" t="s">
        <v>600</v>
      </c>
      <c r="M40" s="103">
        <v>57818242</v>
      </c>
      <c r="N40" s="105">
        <v>44154646</v>
      </c>
      <c r="O40" s="105">
        <v>72963586</v>
      </c>
      <c r="P40" s="120">
        <v>0.77900000000000003</v>
      </c>
      <c r="Q40" s="104">
        <v>90.7</v>
      </c>
      <c r="R40" s="104">
        <v>14.4</v>
      </c>
      <c r="S40" s="1694">
        <v>1.4147084272968711</v>
      </c>
      <c r="T40" s="121">
        <v>-1.3</v>
      </c>
      <c r="U40" s="104" t="s">
        <v>153</v>
      </c>
      <c r="V40" s="105">
        <v>38447757</v>
      </c>
      <c r="W40" s="105">
        <v>41714746</v>
      </c>
      <c r="X40" s="105">
        <v>451984</v>
      </c>
      <c r="Y40" s="1724">
        <v>13095316</v>
      </c>
      <c r="Z40" s="1724">
        <v>15982873</v>
      </c>
    </row>
    <row r="41" spans="1:26" ht="15.75" customHeight="1">
      <c r="A41" s="230" t="s">
        <v>209</v>
      </c>
      <c r="B41" s="140">
        <v>163700770</v>
      </c>
      <c r="C41" s="141">
        <v>160424875</v>
      </c>
      <c r="D41" s="241">
        <v>3275895</v>
      </c>
      <c r="E41" s="141">
        <v>784945</v>
      </c>
      <c r="F41" s="1721">
        <v>2490950</v>
      </c>
      <c r="G41" s="140">
        <v>33374</v>
      </c>
      <c r="H41" s="141">
        <v>1934474</v>
      </c>
      <c r="I41" s="141">
        <v>387373</v>
      </c>
      <c r="J41" s="141">
        <v>37500</v>
      </c>
      <c r="K41" s="141">
        <v>2317721</v>
      </c>
      <c r="L41" s="1753" t="s">
        <v>600</v>
      </c>
      <c r="M41" s="140">
        <v>64512915</v>
      </c>
      <c r="N41" s="141">
        <v>48902784</v>
      </c>
      <c r="O41" s="141">
        <v>81083765</v>
      </c>
      <c r="P41" s="170">
        <v>0.76900000000000002</v>
      </c>
      <c r="Q41" s="136">
        <v>95.3</v>
      </c>
      <c r="R41" s="136">
        <v>12.7</v>
      </c>
      <c r="S41" s="1677">
        <v>3.1</v>
      </c>
      <c r="T41" s="171">
        <v>0.6</v>
      </c>
      <c r="U41" s="910">
        <v>0</v>
      </c>
      <c r="V41" s="141">
        <v>36937248</v>
      </c>
      <c r="W41" s="141">
        <v>112892881</v>
      </c>
      <c r="X41" s="141">
        <v>477866</v>
      </c>
      <c r="Y41" s="1712">
        <v>47700885</v>
      </c>
      <c r="Z41" s="1712">
        <v>15499405</v>
      </c>
    </row>
    <row r="42" spans="1:26" ht="15.75" customHeight="1">
      <c r="A42" s="369" t="s">
        <v>273</v>
      </c>
      <c r="B42" s="103">
        <v>123120328</v>
      </c>
      <c r="C42" s="105">
        <v>122716726</v>
      </c>
      <c r="D42" s="105">
        <v>403602</v>
      </c>
      <c r="E42" s="105">
        <v>347273</v>
      </c>
      <c r="F42" s="1724">
        <v>56329</v>
      </c>
      <c r="G42" s="103">
        <v>-493522</v>
      </c>
      <c r="H42" s="105">
        <v>572026</v>
      </c>
      <c r="I42" s="105">
        <v>320700</v>
      </c>
      <c r="J42" s="105">
        <v>150000</v>
      </c>
      <c r="K42" s="105">
        <v>249204</v>
      </c>
      <c r="L42" s="1749" t="s">
        <v>600</v>
      </c>
      <c r="M42" s="103">
        <v>48256907</v>
      </c>
      <c r="N42" s="105">
        <v>33802420</v>
      </c>
      <c r="O42" s="105">
        <v>60034696</v>
      </c>
      <c r="P42" s="120">
        <v>0.71</v>
      </c>
      <c r="Q42" s="104">
        <v>98.6</v>
      </c>
      <c r="R42" s="104">
        <v>14.6</v>
      </c>
      <c r="S42" s="1694">
        <v>0.1</v>
      </c>
      <c r="T42" s="121">
        <v>3.4</v>
      </c>
      <c r="U42" s="104" t="s">
        <v>148</v>
      </c>
      <c r="V42" s="105">
        <v>12788653</v>
      </c>
      <c r="W42" s="105">
        <v>92171699</v>
      </c>
      <c r="X42" s="105">
        <v>412202</v>
      </c>
      <c r="Y42" s="1724">
        <v>14836679</v>
      </c>
      <c r="Z42" s="1724">
        <v>7823932</v>
      </c>
    </row>
    <row r="43" spans="1:26" ht="15.75" customHeight="1">
      <c r="A43" s="230" t="s">
        <v>274</v>
      </c>
      <c r="B43" s="140">
        <v>106712662</v>
      </c>
      <c r="C43" s="141">
        <v>105438872</v>
      </c>
      <c r="D43" s="241">
        <v>1273790</v>
      </c>
      <c r="E43" s="141">
        <v>132895</v>
      </c>
      <c r="F43" s="1721">
        <v>1140895</v>
      </c>
      <c r="G43" s="140">
        <v>6170</v>
      </c>
      <c r="H43" s="141">
        <v>1643185</v>
      </c>
      <c r="I43" s="141">
        <v>0</v>
      </c>
      <c r="J43" s="141">
        <v>1539877</v>
      </c>
      <c r="K43" s="141">
        <v>109478</v>
      </c>
      <c r="L43" s="1753" t="s">
        <v>600</v>
      </c>
      <c r="M43" s="140">
        <v>40587162</v>
      </c>
      <c r="N43" s="141">
        <v>25730695</v>
      </c>
      <c r="O43" s="141">
        <v>49204060</v>
      </c>
      <c r="P43" s="170">
        <v>0.63639000000000001</v>
      </c>
      <c r="Q43" s="136">
        <v>88.4</v>
      </c>
      <c r="R43" s="136">
        <v>10.8</v>
      </c>
      <c r="S43" s="1677">
        <v>2.2999999999999998</v>
      </c>
      <c r="T43" s="171">
        <v>-1.2</v>
      </c>
      <c r="U43" s="136" t="s">
        <v>148</v>
      </c>
      <c r="V43" s="141">
        <v>32159106</v>
      </c>
      <c r="W43" s="141">
        <v>58836780</v>
      </c>
      <c r="X43" s="141">
        <v>395439</v>
      </c>
      <c r="Y43" s="1712">
        <v>6849323</v>
      </c>
      <c r="Z43" s="1712">
        <v>14180777</v>
      </c>
    </row>
    <row r="44" spans="1:26" ht="15.75" customHeight="1">
      <c r="A44" s="369" t="s">
        <v>215</v>
      </c>
      <c r="B44" s="103">
        <v>232102551</v>
      </c>
      <c r="C44" s="105">
        <v>227452704</v>
      </c>
      <c r="D44" s="105">
        <v>4649847</v>
      </c>
      <c r="E44" s="105">
        <v>565681</v>
      </c>
      <c r="F44" s="1724">
        <v>4084166</v>
      </c>
      <c r="G44" s="103">
        <v>792121</v>
      </c>
      <c r="H44" s="105">
        <v>4162800</v>
      </c>
      <c r="I44" s="105">
        <v>25</v>
      </c>
      <c r="J44" s="105">
        <v>1500000</v>
      </c>
      <c r="K44" s="105">
        <v>3454946</v>
      </c>
      <c r="L44" s="1749" t="s">
        <v>600</v>
      </c>
      <c r="M44" s="103">
        <v>90329572</v>
      </c>
      <c r="N44" s="105">
        <v>66558571</v>
      </c>
      <c r="O44" s="105">
        <v>113099071</v>
      </c>
      <c r="P44" s="120">
        <v>0.74299999999999999</v>
      </c>
      <c r="Q44" s="104">
        <v>93.3</v>
      </c>
      <c r="R44" s="104">
        <v>11.8</v>
      </c>
      <c r="S44" s="1694">
        <v>3.6</v>
      </c>
      <c r="T44" s="121">
        <v>6.9</v>
      </c>
      <c r="U44" s="104" t="s">
        <v>148</v>
      </c>
      <c r="V44" s="105">
        <v>38728630</v>
      </c>
      <c r="W44" s="105">
        <v>166024739</v>
      </c>
      <c r="X44" s="105">
        <v>526655</v>
      </c>
      <c r="Y44" s="1724">
        <v>31934837</v>
      </c>
      <c r="Z44" s="1724">
        <v>20411320</v>
      </c>
    </row>
    <row r="45" spans="1:26" ht="15.75" customHeight="1">
      <c r="A45" s="230" t="s">
        <v>216</v>
      </c>
      <c r="B45" s="140">
        <v>239739534</v>
      </c>
      <c r="C45" s="141">
        <v>230312665</v>
      </c>
      <c r="D45" s="241">
        <v>9426869</v>
      </c>
      <c r="E45" s="141">
        <v>3656617</v>
      </c>
      <c r="F45" s="1721">
        <v>5770252</v>
      </c>
      <c r="G45" s="140">
        <v>274223</v>
      </c>
      <c r="H45" s="141">
        <v>7820</v>
      </c>
      <c r="I45" s="141">
        <v>1649110</v>
      </c>
      <c r="J45" s="141" t="s">
        <v>148</v>
      </c>
      <c r="K45" s="141">
        <v>1931153</v>
      </c>
      <c r="L45" s="1753" t="s">
        <v>600</v>
      </c>
      <c r="M45" s="140">
        <v>96220834</v>
      </c>
      <c r="N45" s="141">
        <v>82295576</v>
      </c>
      <c r="O45" s="141">
        <v>124017973</v>
      </c>
      <c r="P45" s="170">
        <v>0.86299999999999999</v>
      </c>
      <c r="Q45" s="136">
        <v>87.4</v>
      </c>
      <c r="R45" s="136">
        <v>15.4</v>
      </c>
      <c r="S45" s="1677">
        <v>4.8</v>
      </c>
      <c r="T45" s="171">
        <v>3.2</v>
      </c>
      <c r="U45" s="136">
        <v>11.6</v>
      </c>
      <c r="V45" s="141">
        <v>53689190</v>
      </c>
      <c r="W45" s="141">
        <v>193230090</v>
      </c>
      <c r="X45" s="141" t="s">
        <v>148</v>
      </c>
      <c r="Y45" s="1712">
        <v>59460023</v>
      </c>
      <c r="Z45" s="1712">
        <v>14533202</v>
      </c>
    </row>
    <row r="46" spans="1:26" ht="15.75" customHeight="1">
      <c r="A46" s="369" t="s">
        <v>218</v>
      </c>
      <c r="B46" s="103">
        <v>227354581</v>
      </c>
      <c r="C46" s="105">
        <v>224299753</v>
      </c>
      <c r="D46" s="105">
        <v>3054828</v>
      </c>
      <c r="E46" s="105">
        <v>740300</v>
      </c>
      <c r="F46" s="1724">
        <v>2314528</v>
      </c>
      <c r="G46" s="103">
        <v>-544757</v>
      </c>
      <c r="H46" s="105">
        <v>3436891</v>
      </c>
      <c r="I46" s="105">
        <v>1517800</v>
      </c>
      <c r="J46" s="105">
        <v>3219032</v>
      </c>
      <c r="K46" s="105">
        <v>1190902</v>
      </c>
      <c r="L46" s="1749" t="s">
        <v>600</v>
      </c>
      <c r="M46" s="103">
        <v>82404716</v>
      </c>
      <c r="N46" s="105">
        <v>66911831</v>
      </c>
      <c r="O46" s="105">
        <v>104976508</v>
      </c>
      <c r="P46" s="120">
        <v>0.81899999999999995</v>
      </c>
      <c r="Q46" s="104">
        <v>97</v>
      </c>
      <c r="R46" s="104">
        <v>23</v>
      </c>
      <c r="S46" s="1694">
        <v>2.2000000000000002</v>
      </c>
      <c r="T46" s="121">
        <v>8.5</v>
      </c>
      <c r="U46" s="104">
        <v>19.5</v>
      </c>
      <c r="V46" s="105">
        <v>44586902</v>
      </c>
      <c r="W46" s="105">
        <v>193505649</v>
      </c>
      <c r="X46" s="105">
        <v>3469439</v>
      </c>
      <c r="Y46" s="1724">
        <v>18755368</v>
      </c>
      <c r="Z46" s="1724">
        <v>11732198</v>
      </c>
    </row>
    <row r="47" spans="1:26" ht="15.75" customHeight="1">
      <c r="A47" s="230" t="s">
        <v>275</v>
      </c>
      <c r="B47" s="140">
        <v>127828220</v>
      </c>
      <c r="C47" s="141">
        <v>126526263</v>
      </c>
      <c r="D47" s="141">
        <v>1301957</v>
      </c>
      <c r="E47" s="141">
        <v>260066</v>
      </c>
      <c r="F47" s="1712">
        <v>1041891</v>
      </c>
      <c r="G47" s="140">
        <v>-551437</v>
      </c>
      <c r="H47" s="141">
        <v>637626</v>
      </c>
      <c r="I47" s="141" t="s">
        <v>153</v>
      </c>
      <c r="J47" s="141">
        <v>800000</v>
      </c>
      <c r="K47" s="141">
        <v>-713811</v>
      </c>
      <c r="L47" s="1753" t="s">
        <v>600</v>
      </c>
      <c r="M47" s="140">
        <v>52819306</v>
      </c>
      <c r="N47" s="141">
        <v>38188405</v>
      </c>
      <c r="O47" s="141">
        <v>66050299</v>
      </c>
      <c r="P47" s="170">
        <v>0.74</v>
      </c>
      <c r="Q47" s="136">
        <v>94.1</v>
      </c>
      <c r="R47" s="136">
        <v>16.3</v>
      </c>
      <c r="S47" s="1677">
        <v>1.6</v>
      </c>
      <c r="T47" s="171">
        <v>4</v>
      </c>
      <c r="U47" s="136">
        <v>21</v>
      </c>
      <c r="V47" s="141">
        <v>15319174</v>
      </c>
      <c r="W47" s="141">
        <v>114484257</v>
      </c>
      <c r="X47" s="141" t="s">
        <v>153</v>
      </c>
      <c r="Y47" s="1712">
        <v>21175108</v>
      </c>
      <c r="Z47" s="1712">
        <v>9942179</v>
      </c>
    </row>
    <row r="48" spans="1:26" ht="15.75" customHeight="1">
      <c r="A48" s="369" t="s">
        <v>220</v>
      </c>
      <c r="B48" s="103">
        <v>201067541</v>
      </c>
      <c r="C48" s="105">
        <v>200150332</v>
      </c>
      <c r="D48" s="105">
        <f>B48-C48</f>
        <v>917209</v>
      </c>
      <c r="E48" s="105">
        <v>397096</v>
      </c>
      <c r="F48" s="1724">
        <f>D48-E48</f>
        <v>520113</v>
      </c>
      <c r="G48" s="103">
        <v>-4742380</v>
      </c>
      <c r="H48" s="105">
        <v>2601785</v>
      </c>
      <c r="I48" s="105" t="s">
        <v>153</v>
      </c>
      <c r="J48" s="105">
        <v>2100000</v>
      </c>
      <c r="K48" s="105">
        <f>G48+H48+I48-J48</f>
        <v>-4240595</v>
      </c>
      <c r="L48" s="1749" t="s">
        <v>600</v>
      </c>
      <c r="M48" s="103">
        <v>77718846</v>
      </c>
      <c r="N48" s="105">
        <v>73054781</v>
      </c>
      <c r="O48" s="105">
        <v>101589657</v>
      </c>
      <c r="P48" s="120">
        <v>0.94499999999999995</v>
      </c>
      <c r="Q48" s="104">
        <v>96.6</v>
      </c>
      <c r="R48" s="104">
        <v>18.7</v>
      </c>
      <c r="S48" s="1694">
        <v>0.51</v>
      </c>
      <c r="T48" s="208">
        <v>4.5</v>
      </c>
      <c r="U48" s="104" t="s">
        <v>153</v>
      </c>
      <c r="V48" s="105">
        <v>39707181</v>
      </c>
      <c r="W48" s="105">
        <v>133024882</v>
      </c>
      <c r="X48" s="105" t="s">
        <v>153</v>
      </c>
      <c r="Y48" s="1724">
        <v>74252140</v>
      </c>
      <c r="Z48" s="1724">
        <v>20738373</v>
      </c>
    </row>
    <row r="49" spans="1:26" ht="15.75" customHeight="1">
      <c r="A49" s="230" t="s">
        <v>221</v>
      </c>
      <c r="B49" s="238">
        <v>156226595</v>
      </c>
      <c r="C49" s="241">
        <v>151061622</v>
      </c>
      <c r="D49" s="241">
        <v>5164973</v>
      </c>
      <c r="E49" s="241">
        <v>1268338</v>
      </c>
      <c r="F49" s="1721">
        <v>3896635</v>
      </c>
      <c r="G49" s="238">
        <v>-1603361</v>
      </c>
      <c r="H49" s="241">
        <v>93</v>
      </c>
      <c r="I49" s="241">
        <v>530724</v>
      </c>
      <c r="J49" s="241">
        <v>4000000</v>
      </c>
      <c r="K49" s="241">
        <v>-5072544</v>
      </c>
      <c r="L49" s="1748" t="s">
        <v>603</v>
      </c>
      <c r="M49" s="238">
        <v>64492699</v>
      </c>
      <c r="N49" s="241">
        <v>45608099</v>
      </c>
      <c r="O49" s="241">
        <v>81083056</v>
      </c>
      <c r="P49" s="249">
        <v>0.72499999999999998</v>
      </c>
      <c r="Q49" s="242">
        <v>96.9</v>
      </c>
      <c r="R49" s="242">
        <v>16.5</v>
      </c>
      <c r="S49" s="1683">
        <v>4.8</v>
      </c>
      <c r="T49" s="250">
        <v>9.5</v>
      </c>
      <c r="U49" s="242">
        <v>90</v>
      </c>
      <c r="V49" s="241">
        <v>10995360</v>
      </c>
      <c r="W49" s="241">
        <v>189229838</v>
      </c>
      <c r="X49" s="241" t="s">
        <v>148</v>
      </c>
      <c r="Y49" s="1721">
        <v>13909937</v>
      </c>
      <c r="Z49" s="1721">
        <v>2840655</v>
      </c>
    </row>
    <row r="50" spans="1:26" ht="15.75" customHeight="1">
      <c r="A50" s="369" t="s">
        <v>223</v>
      </c>
      <c r="B50" s="75">
        <v>166962820</v>
      </c>
      <c r="C50" s="76">
        <v>165044024</v>
      </c>
      <c r="D50" s="105">
        <f>B50-C50</f>
        <v>1918796</v>
      </c>
      <c r="E50" s="76">
        <v>362377</v>
      </c>
      <c r="F50" s="1724">
        <f>D50-E50</f>
        <v>1556419</v>
      </c>
      <c r="G50" s="75">
        <v>-862427</v>
      </c>
      <c r="H50" s="76">
        <v>3186824</v>
      </c>
      <c r="I50" s="76">
        <v>100</v>
      </c>
      <c r="J50" s="76">
        <v>0</v>
      </c>
      <c r="K50" s="105">
        <f>G50+H50+I50-J50</f>
        <v>2324497</v>
      </c>
      <c r="L50" s="1752" t="s">
        <v>600</v>
      </c>
      <c r="M50" s="75">
        <v>64992779</v>
      </c>
      <c r="N50" s="76">
        <v>50882375</v>
      </c>
      <c r="O50" s="76">
        <v>82880989</v>
      </c>
      <c r="P50" s="200">
        <v>0.8</v>
      </c>
      <c r="Q50" s="74">
        <v>96.9</v>
      </c>
      <c r="R50" s="74">
        <v>15.1</v>
      </c>
      <c r="S50" s="1754">
        <v>1.87</v>
      </c>
      <c r="T50" s="201">
        <v>9.4</v>
      </c>
      <c r="U50" s="74">
        <v>95</v>
      </c>
      <c r="V50" s="76">
        <v>18495540</v>
      </c>
      <c r="W50" s="76">
        <v>186829364</v>
      </c>
      <c r="X50" s="76">
        <v>0</v>
      </c>
      <c r="Y50" s="1725">
        <v>20332115</v>
      </c>
      <c r="Z50" s="1725">
        <v>12412474</v>
      </c>
    </row>
    <row r="51" spans="1:26" ht="15.75" customHeight="1">
      <c r="A51" s="230" t="s">
        <v>276</v>
      </c>
      <c r="B51" s="238">
        <v>115319398</v>
      </c>
      <c r="C51" s="241">
        <v>112370924</v>
      </c>
      <c r="D51" s="241">
        <v>2948474</v>
      </c>
      <c r="E51" s="241">
        <v>260485</v>
      </c>
      <c r="F51" s="1721">
        <v>2687989</v>
      </c>
      <c r="G51" s="238">
        <v>-378904</v>
      </c>
      <c r="H51" s="241">
        <v>236589</v>
      </c>
      <c r="I51" s="241">
        <v>0</v>
      </c>
      <c r="J51" s="241">
        <v>0</v>
      </c>
      <c r="K51" s="241">
        <v>-142315</v>
      </c>
      <c r="L51" s="1748" t="s">
        <v>600</v>
      </c>
      <c r="M51" s="238">
        <v>43815622</v>
      </c>
      <c r="N51" s="241">
        <v>22417902</v>
      </c>
      <c r="O51" s="241">
        <v>51312015</v>
      </c>
      <c r="P51" s="249">
        <v>0.51</v>
      </c>
      <c r="Q51" s="242">
        <v>88.2</v>
      </c>
      <c r="R51" s="242">
        <v>20.9</v>
      </c>
      <c r="S51" s="1683">
        <v>5.2</v>
      </c>
      <c r="T51" s="250">
        <v>8.6999999999999993</v>
      </c>
      <c r="U51" s="242">
        <v>62.5</v>
      </c>
      <c r="V51" s="241">
        <v>10823242</v>
      </c>
      <c r="W51" s="241">
        <v>115229455</v>
      </c>
      <c r="X51" s="241">
        <v>0</v>
      </c>
      <c r="Y51" s="1721">
        <v>23585327</v>
      </c>
      <c r="Z51" s="1721">
        <v>3756521</v>
      </c>
    </row>
    <row r="52" spans="1:26" ht="15.75" customHeight="1">
      <c r="A52" s="369" t="s">
        <v>277</v>
      </c>
      <c r="B52" s="103">
        <v>115101694</v>
      </c>
      <c r="C52" s="105">
        <v>111693641</v>
      </c>
      <c r="D52" s="105">
        <v>3408053</v>
      </c>
      <c r="E52" s="105">
        <v>583193</v>
      </c>
      <c r="F52" s="1724">
        <v>2824860</v>
      </c>
      <c r="G52" s="103">
        <v>279815</v>
      </c>
      <c r="H52" s="105">
        <v>1573549</v>
      </c>
      <c r="I52" s="105">
        <v>204590</v>
      </c>
      <c r="J52" s="105">
        <v>1000000</v>
      </c>
      <c r="K52" s="105">
        <v>1057954</v>
      </c>
      <c r="L52" s="1749" t="s">
        <v>600</v>
      </c>
      <c r="M52" s="103">
        <v>46304387</v>
      </c>
      <c r="N52" s="105">
        <v>26387030</v>
      </c>
      <c r="O52" s="105">
        <v>55218028</v>
      </c>
      <c r="P52" s="120">
        <v>0.56799999999999995</v>
      </c>
      <c r="Q52" s="104">
        <v>92.8</v>
      </c>
      <c r="R52" s="104">
        <v>15.5</v>
      </c>
      <c r="S52" s="1694">
        <v>5.0999999999999996</v>
      </c>
      <c r="T52" s="121">
        <v>9.6</v>
      </c>
      <c r="U52" s="104">
        <v>69.099999999999994</v>
      </c>
      <c r="V52" s="105">
        <v>13430884</v>
      </c>
      <c r="W52" s="105">
        <v>102144748</v>
      </c>
      <c r="X52" s="105">
        <v>0</v>
      </c>
      <c r="Y52" s="1724">
        <v>24429291</v>
      </c>
      <c r="Z52" s="1724">
        <v>5233102</v>
      </c>
    </row>
    <row r="53" spans="1:26" ht="15.75" customHeight="1">
      <c r="A53" s="230" t="s">
        <v>226</v>
      </c>
      <c r="B53" s="140">
        <v>226445818</v>
      </c>
      <c r="C53" s="141">
        <v>215286796</v>
      </c>
      <c r="D53" s="141">
        <v>11159022</v>
      </c>
      <c r="E53" s="141">
        <v>2228313</v>
      </c>
      <c r="F53" s="1712">
        <v>8930709</v>
      </c>
      <c r="G53" s="140">
        <v>-484822</v>
      </c>
      <c r="H53" s="141">
        <v>4805639</v>
      </c>
      <c r="I53" s="141">
        <v>750000</v>
      </c>
      <c r="J53" s="141">
        <v>5000000</v>
      </c>
      <c r="K53" s="141">
        <v>70817</v>
      </c>
      <c r="L53" s="1748" t="s">
        <v>600</v>
      </c>
      <c r="M53" s="140">
        <v>88279226</v>
      </c>
      <c r="N53" s="141">
        <v>73316330</v>
      </c>
      <c r="O53" s="141">
        <v>112923732</v>
      </c>
      <c r="P53" s="170">
        <v>0.84</v>
      </c>
      <c r="Q53" s="136">
        <v>86.8</v>
      </c>
      <c r="R53" s="136">
        <v>13.7</v>
      </c>
      <c r="S53" s="1677">
        <v>7.9</v>
      </c>
      <c r="T53" s="171">
        <v>2.5</v>
      </c>
      <c r="U53" s="136" t="s">
        <v>148</v>
      </c>
      <c r="V53" s="141">
        <v>52615579</v>
      </c>
      <c r="W53" s="141">
        <v>194677601</v>
      </c>
      <c r="X53" s="141">
        <v>2100000</v>
      </c>
      <c r="Y53" s="1712">
        <v>71874245</v>
      </c>
      <c r="Z53" s="1712">
        <v>12558574</v>
      </c>
    </row>
    <row r="54" spans="1:26" ht="15.75" customHeight="1">
      <c r="A54" s="369" t="s">
        <v>278</v>
      </c>
      <c r="B54" s="103">
        <v>112300779</v>
      </c>
      <c r="C54" s="105">
        <v>108836845</v>
      </c>
      <c r="D54" s="105">
        <v>3463934</v>
      </c>
      <c r="E54" s="105">
        <v>827823</v>
      </c>
      <c r="F54" s="1724">
        <v>2636111</v>
      </c>
      <c r="G54" s="103">
        <v>-1834525</v>
      </c>
      <c r="H54" s="105">
        <v>2238418</v>
      </c>
      <c r="I54" s="76" t="s">
        <v>153</v>
      </c>
      <c r="J54" s="76" t="s">
        <v>153</v>
      </c>
      <c r="K54" s="105">
        <v>403893</v>
      </c>
      <c r="L54" s="1749" t="s">
        <v>600</v>
      </c>
      <c r="M54" s="103">
        <v>46314203</v>
      </c>
      <c r="N54" s="105">
        <v>26809742</v>
      </c>
      <c r="O54" s="105">
        <v>55391653</v>
      </c>
      <c r="P54" s="120">
        <v>0.59</v>
      </c>
      <c r="Q54" s="104">
        <v>93.8</v>
      </c>
      <c r="R54" s="104">
        <v>15.6</v>
      </c>
      <c r="S54" s="1694">
        <v>4.8</v>
      </c>
      <c r="T54" s="121">
        <v>6</v>
      </c>
      <c r="U54" s="104">
        <v>43.7</v>
      </c>
      <c r="V54" s="105">
        <v>12782529</v>
      </c>
      <c r="W54" s="105">
        <v>111328274</v>
      </c>
      <c r="X54" s="76" t="s">
        <v>153</v>
      </c>
      <c r="Y54" s="1724">
        <v>44421747</v>
      </c>
      <c r="Z54" s="1724">
        <v>7526319</v>
      </c>
    </row>
    <row r="55" spans="1:26" ht="15.75" customHeight="1">
      <c r="A55" s="230" t="s">
        <v>228</v>
      </c>
      <c r="B55" s="140">
        <v>222295714</v>
      </c>
      <c r="C55" s="141">
        <v>213823764</v>
      </c>
      <c r="D55" s="141">
        <v>8471950</v>
      </c>
      <c r="E55" s="141">
        <v>3950260</v>
      </c>
      <c r="F55" s="1712">
        <v>4521690</v>
      </c>
      <c r="G55" s="140">
        <v>-657655</v>
      </c>
      <c r="H55" s="141">
        <v>2762040</v>
      </c>
      <c r="I55" s="141">
        <v>1017220</v>
      </c>
      <c r="J55" s="141">
        <v>2995332</v>
      </c>
      <c r="K55" s="141">
        <v>126273</v>
      </c>
      <c r="L55" s="1753" t="s">
        <v>600</v>
      </c>
      <c r="M55" s="140">
        <v>85047973</v>
      </c>
      <c r="N55" s="141">
        <v>66676295</v>
      </c>
      <c r="O55" s="141">
        <v>108118463</v>
      </c>
      <c r="P55" s="170">
        <v>0.79</v>
      </c>
      <c r="Q55" s="136">
        <v>83.2</v>
      </c>
      <c r="R55" s="136">
        <v>12.3</v>
      </c>
      <c r="S55" s="1677">
        <v>4.2</v>
      </c>
      <c r="T55" s="171">
        <v>1.3</v>
      </c>
      <c r="U55" s="136">
        <v>0</v>
      </c>
      <c r="V55" s="141">
        <v>46546615</v>
      </c>
      <c r="W55" s="141">
        <v>143650490</v>
      </c>
      <c r="X55" s="349">
        <v>0</v>
      </c>
      <c r="Y55" s="1712">
        <v>84987018</v>
      </c>
      <c r="Z55" s="1712">
        <v>19515012</v>
      </c>
    </row>
    <row r="56" spans="1:26" ht="15.75" customHeight="1">
      <c r="A56" s="369" t="s">
        <v>229</v>
      </c>
      <c r="B56" s="507">
        <v>150241559</v>
      </c>
      <c r="C56" s="565">
        <v>144925985</v>
      </c>
      <c r="D56" s="565">
        <v>5315574</v>
      </c>
      <c r="E56" s="565">
        <v>1021202</v>
      </c>
      <c r="F56" s="1741">
        <v>4294372</v>
      </c>
      <c r="G56" s="507">
        <v>-99967</v>
      </c>
      <c r="H56" s="565">
        <v>1831928</v>
      </c>
      <c r="I56" s="674" t="s">
        <v>148</v>
      </c>
      <c r="J56" s="565">
        <v>1500000</v>
      </c>
      <c r="K56" s="565">
        <v>231961</v>
      </c>
      <c r="L56" s="1755" t="s">
        <v>601</v>
      </c>
      <c r="M56" s="507">
        <v>55684709</v>
      </c>
      <c r="N56" s="565">
        <v>30679881</v>
      </c>
      <c r="O56" s="565">
        <v>65832789</v>
      </c>
      <c r="P56" s="675">
        <v>0.54500000000000004</v>
      </c>
      <c r="Q56" s="566">
        <v>95.8</v>
      </c>
      <c r="R56" s="566">
        <v>14.2</v>
      </c>
      <c r="S56" s="1710">
        <v>6.5</v>
      </c>
      <c r="T56" s="676">
        <v>10</v>
      </c>
      <c r="U56" s="566">
        <v>41</v>
      </c>
      <c r="V56" s="565">
        <v>27079803</v>
      </c>
      <c r="W56" s="565">
        <v>131262227</v>
      </c>
      <c r="X56" s="674">
        <v>13400000</v>
      </c>
      <c r="Y56" s="1741">
        <v>33436741</v>
      </c>
      <c r="Z56" s="1741">
        <v>7107801</v>
      </c>
    </row>
    <row r="57" spans="1:26" ht="15.75" customHeight="1">
      <c r="A57" s="230" t="s">
        <v>230</v>
      </c>
      <c r="B57" s="140">
        <v>178322945</v>
      </c>
      <c r="C57" s="141">
        <v>173425179</v>
      </c>
      <c r="D57" s="141">
        <v>4897766</v>
      </c>
      <c r="E57" s="141">
        <v>997186</v>
      </c>
      <c r="F57" s="1712">
        <v>3900580</v>
      </c>
      <c r="G57" s="140">
        <v>103213</v>
      </c>
      <c r="H57" s="141">
        <v>5050</v>
      </c>
      <c r="I57" s="141">
        <v>605783</v>
      </c>
      <c r="J57" s="141">
        <v>1161167</v>
      </c>
      <c r="K57" s="141">
        <v>-447121</v>
      </c>
      <c r="L57" s="1753" t="s">
        <v>600</v>
      </c>
      <c r="M57" s="140">
        <v>78261444</v>
      </c>
      <c r="N57" s="141">
        <v>61072887</v>
      </c>
      <c r="O57" s="141">
        <v>99165011</v>
      </c>
      <c r="P57" s="170">
        <v>0.78800000000000003</v>
      </c>
      <c r="Q57" s="136">
        <v>94.1</v>
      </c>
      <c r="R57" s="136">
        <v>18.5</v>
      </c>
      <c r="S57" s="1677">
        <v>3.9</v>
      </c>
      <c r="T57" s="171">
        <v>7</v>
      </c>
      <c r="U57" s="136">
        <v>66.8</v>
      </c>
      <c r="V57" s="141">
        <v>20856465</v>
      </c>
      <c r="W57" s="141">
        <v>176368497</v>
      </c>
      <c r="X57" s="141">
        <v>200000</v>
      </c>
      <c r="Y57" s="1712">
        <v>77527738</v>
      </c>
      <c r="Z57" s="1712">
        <v>11797079</v>
      </c>
    </row>
    <row r="58" spans="1:26" ht="15.75" customHeight="1">
      <c r="A58" s="369" t="s">
        <v>231</v>
      </c>
      <c r="B58" s="75">
        <v>215552463</v>
      </c>
      <c r="C58" s="76">
        <v>209891805</v>
      </c>
      <c r="D58" s="76">
        <v>5660658</v>
      </c>
      <c r="E58" s="76">
        <v>1512061</v>
      </c>
      <c r="F58" s="1725">
        <v>4148597</v>
      </c>
      <c r="G58" s="75">
        <v>598324</v>
      </c>
      <c r="H58" s="76">
        <v>100000</v>
      </c>
      <c r="I58" s="76" t="s">
        <v>153</v>
      </c>
      <c r="J58" s="76">
        <v>2000000</v>
      </c>
      <c r="K58" s="76">
        <v>-1301676</v>
      </c>
      <c r="L58" s="1752" t="s">
        <v>600</v>
      </c>
      <c r="M58" s="75">
        <v>88678503</v>
      </c>
      <c r="N58" s="76">
        <v>66513207</v>
      </c>
      <c r="O58" s="76">
        <v>111139782</v>
      </c>
      <c r="P58" s="200">
        <v>0.755</v>
      </c>
      <c r="Q58" s="74">
        <v>89.7</v>
      </c>
      <c r="R58" s="74">
        <v>13.1</v>
      </c>
      <c r="S58" s="1686">
        <v>3.7</v>
      </c>
      <c r="T58" s="201">
        <v>7.9</v>
      </c>
      <c r="U58" s="74">
        <v>24.3</v>
      </c>
      <c r="V58" s="76">
        <v>52986368</v>
      </c>
      <c r="W58" s="76">
        <v>162829226</v>
      </c>
      <c r="X58" s="76" t="s">
        <v>153</v>
      </c>
      <c r="Y58" s="1725">
        <v>36717399</v>
      </c>
      <c r="Z58" s="1725">
        <v>18250000</v>
      </c>
    </row>
    <row r="59" spans="1:26" ht="15.75" customHeight="1">
      <c r="A59" s="230" t="s">
        <v>232</v>
      </c>
      <c r="B59" s="238">
        <v>165510132</v>
      </c>
      <c r="C59" s="241">
        <v>162979477</v>
      </c>
      <c r="D59" s="241">
        <v>2530655</v>
      </c>
      <c r="E59" s="241">
        <v>1131384</v>
      </c>
      <c r="F59" s="1721">
        <v>1399271</v>
      </c>
      <c r="G59" s="238">
        <v>-3487512</v>
      </c>
      <c r="H59" s="241">
        <v>111</v>
      </c>
      <c r="I59" s="241">
        <v>2247</v>
      </c>
      <c r="J59" s="241">
        <v>0</v>
      </c>
      <c r="K59" s="241">
        <v>-3485154</v>
      </c>
      <c r="L59" s="1748" t="s">
        <v>600</v>
      </c>
      <c r="M59" s="238">
        <v>65530798</v>
      </c>
      <c r="N59" s="241">
        <v>42003632</v>
      </c>
      <c r="O59" s="241">
        <v>79713370</v>
      </c>
      <c r="P59" s="249">
        <v>0.64100000000000001</v>
      </c>
      <c r="Q59" s="242">
        <v>96.9</v>
      </c>
      <c r="R59" s="242">
        <v>15.5</v>
      </c>
      <c r="S59" s="1683">
        <v>1.8</v>
      </c>
      <c r="T59" s="250">
        <v>13.2</v>
      </c>
      <c r="U59" s="242">
        <v>160.9</v>
      </c>
      <c r="V59" s="241">
        <v>14783737</v>
      </c>
      <c r="W59" s="241">
        <v>209824716</v>
      </c>
      <c r="X59" s="241">
        <v>379766</v>
      </c>
      <c r="Y59" s="1721">
        <v>12500806</v>
      </c>
      <c r="Z59" s="1721">
        <v>5776544</v>
      </c>
    </row>
    <row r="60" spans="1:26" ht="15.75" customHeight="1">
      <c r="A60" s="369" t="s">
        <v>234</v>
      </c>
      <c r="B60" s="103">
        <v>146847731</v>
      </c>
      <c r="C60" s="105">
        <v>145417176</v>
      </c>
      <c r="D60" s="105">
        <v>1430555</v>
      </c>
      <c r="E60" s="105">
        <v>397171</v>
      </c>
      <c r="F60" s="1724">
        <v>1033384</v>
      </c>
      <c r="G60" s="103">
        <v>37738</v>
      </c>
      <c r="H60" s="105">
        <v>8272</v>
      </c>
      <c r="I60" s="105">
        <v>0</v>
      </c>
      <c r="J60" s="105">
        <v>0</v>
      </c>
      <c r="K60" s="105">
        <v>46010</v>
      </c>
      <c r="L60" s="1752" t="s">
        <v>600</v>
      </c>
      <c r="M60" s="103">
        <v>58696919</v>
      </c>
      <c r="N60" s="105">
        <v>37641989</v>
      </c>
      <c r="O60" s="105">
        <v>72378584</v>
      </c>
      <c r="P60" s="120">
        <v>0.64400000000000002</v>
      </c>
      <c r="Q60" s="104">
        <v>94.7</v>
      </c>
      <c r="R60" s="104">
        <v>12.1</v>
      </c>
      <c r="S60" s="1694">
        <v>1.4</v>
      </c>
      <c r="T60" s="121">
        <v>3.5</v>
      </c>
      <c r="U60" s="104">
        <v>5.2</v>
      </c>
      <c r="V60" s="105">
        <v>20749026</v>
      </c>
      <c r="W60" s="105">
        <v>131824024</v>
      </c>
      <c r="X60" s="105">
        <v>300000</v>
      </c>
      <c r="Y60" s="1724">
        <v>26324596</v>
      </c>
      <c r="Z60" s="1724">
        <v>7459628</v>
      </c>
    </row>
    <row r="61" spans="1:26" ht="15.75" customHeight="1">
      <c r="A61" s="230" t="s">
        <v>236</v>
      </c>
      <c r="B61" s="234">
        <v>240493330</v>
      </c>
      <c r="C61" s="241">
        <v>231943383</v>
      </c>
      <c r="D61" s="241">
        <v>8549947</v>
      </c>
      <c r="E61" s="241">
        <v>1690914</v>
      </c>
      <c r="F61" s="1721">
        <v>6859033</v>
      </c>
      <c r="G61" s="238">
        <v>3954058</v>
      </c>
      <c r="H61" s="241">
        <v>2143026</v>
      </c>
      <c r="I61" s="241">
        <v>0</v>
      </c>
      <c r="J61" s="241">
        <v>3456054</v>
      </c>
      <c r="K61" s="241">
        <v>2641030</v>
      </c>
      <c r="L61" s="1748" t="s">
        <v>600</v>
      </c>
      <c r="M61" s="234">
        <v>83729976</v>
      </c>
      <c r="N61" s="241">
        <v>48641264</v>
      </c>
      <c r="O61" s="241">
        <v>100144822</v>
      </c>
      <c r="P61" s="249">
        <v>0.57999999999999996</v>
      </c>
      <c r="Q61" s="242">
        <v>97.2</v>
      </c>
      <c r="R61" s="242">
        <v>11.1</v>
      </c>
      <c r="S61" s="1683">
        <v>6.85</v>
      </c>
      <c r="T61" s="250">
        <v>9.6999999999999993</v>
      </c>
      <c r="U61" s="242">
        <v>103.9</v>
      </c>
      <c r="V61" s="241">
        <v>42827620</v>
      </c>
      <c r="W61" s="241">
        <v>272864142</v>
      </c>
      <c r="X61" s="241">
        <v>0</v>
      </c>
      <c r="Y61" s="1721">
        <v>55913485</v>
      </c>
      <c r="Z61" s="1721">
        <v>10764847</v>
      </c>
    </row>
    <row r="62" spans="1:26" ht="15.75" customHeight="1">
      <c r="A62" s="369" t="s">
        <v>279</v>
      </c>
      <c r="B62" s="110">
        <v>138889941</v>
      </c>
      <c r="C62" s="105">
        <v>133196467</v>
      </c>
      <c r="D62" s="105">
        <v>5693474</v>
      </c>
      <c r="E62" s="105">
        <v>1183117</v>
      </c>
      <c r="F62" s="1724">
        <v>4510357</v>
      </c>
      <c r="G62" s="110">
        <v>-115726</v>
      </c>
      <c r="H62" s="105">
        <v>2296283</v>
      </c>
      <c r="I62" s="105">
        <v>0</v>
      </c>
      <c r="J62" s="105">
        <v>2691362</v>
      </c>
      <c r="K62" s="105">
        <v>-510805</v>
      </c>
      <c r="L62" s="1749" t="s">
        <v>600</v>
      </c>
      <c r="M62" s="110">
        <v>51109922</v>
      </c>
      <c r="N62" s="105">
        <v>27335568</v>
      </c>
      <c r="O62" s="1723">
        <v>60047675</v>
      </c>
      <c r="P62" s="120">
        <v>0.53</v>
      </c>
      <c r="Q62" s="104">
        <v>93</v>
      </c>
      <c r="R62" s="104">
        <v>14.9</v>
      </c>
      <c r="S62" s="1694">
        <v>7.5</v>
      </c>
      <c r="T62" s="121">
        <v>4.7</v>
      </c>
      <c r="U62" s="104" t="s">
        <v>148</v>
      </c>
      <c r="V62" s="105">
        <v>22548177</v>
      </c>
      <c r="W62" s="105">
        <v>104589215</v>
      </c>
      <c r="X62" s="105">
        <v>350000</v>
      </c>
      <c r="Y62" s="1724">
        <v>12819736</v>
      </c>
      <c r="Z62" s="1724">
        <v>6333630</v>
      </c>
    </row>
    <row r="63" spans="1:26" ht="15.75" customHeight="1">
      <c r="A63" s="230" t="s">
        <v>238</v>
      </c>
      <c r="B63" s="146">
        <v>217804907</v>
      </c>
      <c r="C63" s="141">
        <v>211823325</v>
      </c>
      <c r="D63" s="141">
        <v>5981582</v>
      </c>
      <c r="E63" s="141">
        <v>853613</v>
      </c>
      <c r="F63" s="1712">
        <v>5127969</v>
      </c>
      <c r="G63" s="140">
        <v>-1474927</v>
      </c>
      <c r="H63" s="141">
        <v>1004831</v>
      </c>
      <c r="I63" s="141">
        <v>0</v>
      </c>
      <c r="J63" s="141">
        <v>0</v>
      </c>
      <c r="K63" s="141">
        <v>-470096</v>
      </c>
      <c r="L63" s="1753" t="s">
        <v>600</v>
      </c>
      <c r="M63" s="146">
        <v>80688192</v>
      </c>
      <c r="N63" s="141">
        <v>70349165</v>
      </c>
      <c r="O63" s="141">
        <v>103925632</v>
      </c>
      <c r="P63" s="170">
        <v>0.878</v>
      </c>
      <c r="Q63" s="136">
        <v>95.1</v>
      </c>
      <c r="R63" s="136">
        <v>14.1</v>
      </c>
      <c r="S63" s="1677">
        <v>4.9000000000000004</v>
      </c>
      <c r="T63" s="171">
        <v>5.8</v>
      </c>
      <c r="U63" s="136">
        <v>32</v>
      </c>
      <c r="V63" s="141">
        <v>25074641</v>
      </c>
      <c r="W63" s="141">
        <v>163028639</v>
      </c>
      <c r="X63" s="141">
        <v>0</v>
      </c>
      <c r="Y63" s="1712">
        <v>163445539</v>
      </c>
      <c r="Z63" s="1712">
        <v>5914751</v>
      </c>
    </row>
    <row r="64" spans="1:26" ht="15.75" customHeight="1">
      <c r="A64" s="369" t="s">
        <v>239</v>
      </c>
      <c r="B64" s="531">
        <v>193271715</v>
      </c>
      <c r="C64" s="530">
        <v>188663443</v>
      </c>
      <c r="D64" s="530">
        <v>4608272</v>
      </c>
      <c r="E64" s="530">
        <v>749013</v>
      </c>
      <c r="F64" s="1716">
        <v>3859259</v>
      </c>
      <c r="G64" s="531">
        <v>-1009410</v>
      </c>
      <c r="H64" s="530">
        <v>62236</v>
      </c>
      <c r="I64" s="530" t="s">
        <v>148</v>
      </c>
      <c r="J64" s="530">
        <v>0</v>
      </c>
      <c r="K64" s="530">
        <v>-947174</v>
      </c>
      <c r="L64" s="1746" t="s">
        <v>601</v>
      </c>
      <c r="M64" s="531">
        <v>74306236</v>
      </c>
      <c r="N64" s="530">
        <v>51740449</v>
      </c>
      <c r="O64" s="1715">
        <v>91465907</v>
      </c>
      <c r="P64" s="610">
        <v>0.69499999999999995</v>
      </c>
      <c r="Q64" s="533">
        <v>90</v>
      </c>
      <c r="R64" s="533">
        <v>11.7</v>
      </c>
      <c r="S64" s="1680">
        <v>4.2</v>
      </c>
      <c r="T64" s="698">
        <v>6.8</v>
      </c>
      <c r="U64" s="533">
        <v>30.1</v>
      </c>
      <c r="V64" s="530">
        <v>38684362</v>
      </c>
      <c r="W64" s="530">
        <v>171458297</v>
      </c>
      <c r="X64" s="530" t="s">
        <v>148</v>
      </c>
      <c r="Y64" s="1716">
        <v>71563392</v>
      </c>
      <c r="Z64" s="1716">
        <v>14703104</v>
      </c>
    </row>
    <row r="65" spans="1:26" ht="15.75" customHeight="1">
      <c r="A65" s="230" t="s">
        <v>241</v>
      </c>
      <c r="B65" s="146">
        <v>293890590</v>
      </c>
      <c r="C65" s="141">
        <v>284550019</v>
      </c>
      <c r="D65" s="141">
        <v>9340571</v>
      </c>
      <c r="E65" s="141">
        <v>2485611</v>
      </c>
      <c r="F65" s="1712">
        <v>6854960</v>
      </c>
      <c r="G65" s="140">
        <v>-2324863</v>
      </c>
      <c r="H65" s="141">
        <v>939</v>
      </c>
      <c r="I65" s="141" t="s">
        <v>153</v>
      </c>
      <c r="J65" s="141">
        <v>1728811</v>
      </c>
      <c r="K65" s="141">
        <v>-4052735</v>
      </c>
      <c r="L65" s="1753" t="s">
        <v>600</v>
      </c>
      <c r="M65" s="140">
        <v>110017474</v>
      </c>
      <c r="N65" s="141">
        <v>78078949</v>
      </c>
      <c r="O65" s="141">
        <v>136943985</v>
      </c>
      <c r="P65" s="170">
        <v>0.71199999999999997</v>
      </c>
      <c r="Q65" s="136">
        <v>92.9</v>
      </c>
      <c r="R65" s="136">
        <v>12.6</v>
      </c>
      <c r="S65" s="1677">
        <v>5</v>
      </c>
      <c r="T65" s="186">
        <v>4.3</v>
      </c>
      <c r="U65" s="136">
        <v>25.1</v>
      </c>
      <c r="V65" s="141">
        <v>42287716</v>
      </c>
      <c r="W65" s="141">
        <v>254284336</v>
      </c>
      <c r="X65" s="141" t="s">
        <v>153</v>
      </c>
      <c r="Y65" s="1712">
        <v>47608772</v>
      </c>
      <c r="Z65" s="1712">
        <v>8980423</v>
      </c>
    </row>
    <row r="66" spans="1:26" ht="15.75" customHeight="1" thickBot="1">
      <c r="A66" s="369" t="s">
        <v>243</v>
      </c>
      <c r="B66" s="103">
        <v>187068826</v>
      </c>
      <c r="C66" s="105">
        <v>178547046</v>
      </c>
      <c r="D66" s="105">
        <v>8521780</v>
      </c>
      <c r="E66" s="105">
        <v>996709</v>
      </c>
      <c r="F66" s="1724">
        <v>7525071</v>
      </c>
      <c r="G66" s="103">
        <v>1046815</v>
      </c>
      <c r="H66" s="105">
        <v>3239258</v>
      </c>
      <c r="I66" s="105">
        <v>0</v>
      </c>
      <c r="J66" s="105">
        <v>3240672</v>
      </c>
      <c r="K66" s="105">
        <v>1045401</v>
      </c>
      <c r="L66" s="1749" t="s">
        <v>600</v>
      </c>
      <c r="M66" s="103">
        <v>57028410</v>
      </c>
      <c r="N66" s="105">
        <v>47863102</v>
      </c>
      <c r="O66" s="105">
        <v>73164034</v>
      </c>
      <c r="P66" s="120">
        <v>0.84</v>
      </c>
      <c r="Q66" s="74">
        <v>90.4</v>
      </c>
      <c r="R66" s="104">
        <v>11.4</v>
      </c>
      <c r="S66" s="1694">
        <v>10.3</v>
      </c>
      <c r="T66" s="208">
        <v>8.6</v>
      </c>
      <c r="U66" s="104">
        <v>45.7</v>
      </c>
      <c r="V66" s="105">
        <v>22585295</v>
      </c>
      <c r="W66" s="105">
        <v>132712577</v>
      </c>
      <c r="X66" s="105">
        <v>0</v>
      </c>
      <c r="Y66" s="1724">
        <v>35648892</v>
      </c>
      <c r="Z66" s="1724">
        <v>6498590</v>
      </c>
    </row>
    <row r="67" spans="1:26" ht="15" customHeight="1" thickTop="1">
      <c r="A67" s="231" t="s">
        <v>244</v>
      </c>
      <c r="B67" s="289">
        <f t="shared" ref="B67:K67" si="0">SUM(B5:B66)</f>
        <v>10633834131</v>
      </c>
      <c r="C67" s="288">
        <f t="shared" si="0"/>
        <v>10283917519</v>
      </c>
      <c r="D67" s="288">
        <f t="shared" si="0"/>
        <v>349916612</v>
      </c>
      <c r="E67" s="288">
        <f t="shared" si="0"/>
        <v>80469407</v>
      </c>
      <c r="F67" s="290">
        <f t="shared" si="0"/>
        <v>269447205</v>
      </c>
      <c r="G67" s="289">
        <f t="shared" si="0"/>
        <v>-44732893</v>
      </c>
      <c r="H67" s="288">
        <f t="shared" si="0"/>
        <v>108434073</v>
      </c>
      <c r="I67" s="288">
        <f t="shared" si="0"/>
        <v>10461274</v>
      </c>
      <c r="J67" s="288">
        <f t="shared" si="0"/>
        <v>104483317</v>
      </c>
      <c r="K67" s="288">
        <f t="shared" si="0"/>
        <v>-32201233</v>
      </c>
      <c r="L67" s="319" t="s">
        <v>153</v>
      </c>
      <c r="M67" s="289">
        <f>SUM(M5:M66)</f>
        <v>4052218595</v>
      </c>
      <c r="N67" s="288">
        <f t="shared" ref="N67:Y67" si="1">SUM(N5:N66)</f>
        <v>3157537475</v>
      </c>
      <c r="O67" s="288">
        <f t="shared" si="1"/>
        <v>5107148569</v>
      </c>
      <c r="P67" s="288" t="s">
        <v>153</v>
      </c>
      <c r="Q67" s="288" t="s">
        <v>153</v>
      </c>
      <c r="R67" s="288" t="s">
        <v>153</v>
      </c>
      <c r="S67" s="290" t="s">
        <v>153</v>
      </c>
      <c r="T67" s="289" t="s">
        <v>153</v>
      </c>
      <c r="U67" s="288" t="s">
        <v>153</v>
      </c>
      <c r="V67" s="288">
        <f t="shared" si="1"/>
        <v>1715962359</v>
      </c>
      <c r="W67" s="288">
        <f t="shared" si="1"/>
        <v>8454477027</v>
      </c>
      <c r="X67" s="288">
        <f t="shared" si="1"/>
        <v>26619990</v>
      </c>
      <c r="Y67" s="290">
        <f t="shared" si="1"/>
        <v>2448767208</v>
      </c>
      <c r="Z67" s="290">
        <f>SUM(Z5:Z66)</f>
        <v>676634152</v>
      </c>
    </row>
    <row r="68" spans="1:26" ht="15" customHeight="1">
      <c r="A68" s="369" t="s">
        <v>245</v>
      </c>
      <c r="B68" s="70">
        <f>AVERAGE(B5:B66)</f>
        <v>171513453.72580644</v>
      </c>
      <c r="C68" s="76">
        <f t="shared" ref="C68:K68" si="2">AVERAGE(C5:C66)</f>
        <v>165869637.40322581</v>
      </c>
      <c r="D68" s="76">
        <f t="shared" si="2"/>
        <v>5643816.3225806449</v>
      </c>
      <c r="E68" s="76">
        <f t="shared" si="2"/>
        <v>1297893.6612903227</v>
      </c>
      <c r="F68" s="1725">
        <f t="shared" si="2"/>
        <v>4345922.6612903224</v>
      </c>
      <c r="G68" s="70">
        <f t="shared" si="2"/>
        <v>-721498.27419354836</v>
      </c>
      <c r="H68" s="76">
        <f t="shared" si="2"/>
        <v>1748936.6612903227</v>
      </c>
      <c r="I68" s="76">
        <f t="shared" si="2"/>
        <v>268237.79487179487</v>
      </c>
      <c r="J68" s="76">
        <f t="shared" si="2"/>
        <v>1934876.2407407407</v>
      </c>
      <c r="K68" s="76">
        <f t="shared" si="2"/>
        <v>-519374.72580645164</v>
      </c>
      <c r="L68" s="1752" t="s">
        <v>153</v>
      </c>
      <c r="M68" s="70">
        <f>AVERAGE(M5:M66)</f>
        <v>65358364.435483873</v>
      </c>
      <c r="N68" s="76">
        <f t="shared" ref="N68:Y68" si="3">AVERAGE(N5:N66)</f>
        <v>50928023.790322579</v>
      </c>
      <c r="O68" s="76">
        <f t="shared" si="3"/>
        <v>82373364.016129032</v>
      </c>
      <c r="P68" s="200">
        <f t="shared" si="3"/>
        <v>0.77595790322580649</v>
      </c>
      <c r="Q68" s="74">
        <f t="shared" si="3"/>
        <v>92.260630966509623</v>
      </c>
      <c r="R68" s="74">
        <f t="shared" si="3"/>
        <v>14.35483870967742</v>
      </c>
      <c r="S68" s="1686">
        <f t="shared" si="3"/>
        <v>5.3365275552789804</v>
      </c>
      <c r="T68" s="201">
        <f t="shared" si="3"/>
        <v>5.4177419354838721</v>
      </c>
      <c r="U68" s="441">
        <f t="shared" si="3"/>
        <v>49.262790697674411</v>
      </c>
      <c r="V68" s="76">
        <f t="shared" si="3"/>
        <v>27676812.241935484</v>
      </c>
      <c r="W68" s="76">
        <f t="shared" si="3"/>
        <v>136362532.69354838</v>
      </c>
      <c r="X68" s="76">
        <f t="shared" si="3"/>
        <v>665499.75</v>
      </c>
      <c r="Y68" s="1725">
        <f t="shared" si="3"/>
        <v>40143724.721311472</v>
      </c>
      <c r="Z68" s="1725">
        <f>AVERAGE(Z5:Z66)</f>
        <v>10913454.064516129</v>
      </c>
    </row>
    <row r="69" spans="1:26" ht="12.75" customHeight="1">
      <c r="A69" s="442" t="s">
        <v>246</v>
      </c>
      <c r="B69" s="443"/>
      <c r="C69" s="443"/>
      <c r="D69" s="443"/>
      <c r="E69" s="443"/>
      <c r="F69" s="443"/>
      <c r="G69" s="443"/>
      <c r="H69" s="443"/>
      <c r="I69" s="443"/>
      <c r="J69" s="443"/>
      <c r="K69" s="443"/>
      <c r="L69" s="444"/>
      <c r="M69" s="422"/>
      <c r="N69" s="422"/>
      <c r="O69" s="443"/>
      <c r="P69" s="445"/>
      <c r="Q69" s="446"/>
      <c r="R69" s="446"/>
      <c r="S69" s="446"/>
      <c r="T69" s="422"/>
      <c r="U69" s="446"/>
      <c r="V69" s="443"/>
      <c r="W69" s="443"/>
      <c r="X69" s="443"/>
      <c r="Y69" s="443"/>
      <c r="Z69" s="443"/>
    </row>
    <row r="70" spans="1:26" ht="12.75" customHeight="1">
      <c r="M70" s="29"/>
      <c r="N70" s="29"/>
    </row>
    <row r="71" spans="1:26" ht="12.75" customHeight="1"/>
    <row r="72" spans="1:26" ht="12.75" customHeight="1"/>
    <row r="73" spans="1:26" ht="12.75" customHeight="1"/>
    <row r="74" spans="1:26" ht="12.75" customHeight="1"/>
  </sheetData>
  <customSheetViews>
    <customSheetView guid="{CFB8F6A3-286B-44DA-98E2-E06FA9DC17D9}" scale="90" showGridLines="0">
      <pane xSplit="1" ySplit="6" topLeftCell="B43" activePane="bottomRight" state="frozen"/>
      <selection pane="bottomRight" activeCell="A7" sqref="A7:A54"/>
      <colBreaks count="3" manualBreakCount="3">
        <brk id="6" max="19" man="1"/>
        <brk id="13" max="70" man="1"/>
        <brk id="21" max="19" man="1"/>
      </colBreaks>
      <pageMargins left="0" right="0" top="0" bottom="0" header="0" footer="0"/>
      <pageSetup paperSize="9" scale="80" firstPageNumber="12" fitToWidth="0" orientation="portrait" useFirstPageNumber="1" r:id="rId1"/>
      <headerFooter alignWithMargins="0"/>
    </customSheetView>
    <customSheetView guid="{429188B7-F8E8-41E0-BAA6-8F869C883D4F}" scale="70" showGridLines="0">
      <pane xSplit="1" ySplit="6" topLeftCell="B7" activePane="bottomRight" state="frozen"/>
      <selection pane="bottomRight" activeCell="A2" sqref="A2"/>
      <colBreaks count="3" manualBreakCount="3">
        <brk id="6" min="2" max="72" man="1"/>
        <brk id="12" min="2" max="72" man="1"/>
        <brk id="19" min="2" max="72" man="1"/>
      </colBreaks>
      <pageMargins left="0" right="0" top="0" bottom="0" header="0" footer="0"/>
      <pageSetup paperSize="8" firstPageNumber="12" fitToWidth="0" orientation="portrait" r:id="rId2"/>
      <headerFooter alignWithMargins="0">
        <oddHeader>&amp;L&amp;"ＭＳ Ｐゴシック,太字"&amp;16ⅰ　歳入・歳出総額等
（平成30年度）</oddHeader>
      </headerFooter>
    </customSheetView>
  </customSheetViews>
  <mergeCells count="24">
    <mergeCell ref="Z1:Z3"/>
    <mergeCell ref="W1:W3"/>
    <mergeCell ref="X1:X3"/>
    <mergeCell ref="Y1:Y3"/>
    <mergeCell ref="P1:P3"/>
    <mergeCell ref="S1:S3"/>
    <mergeCell ref="T1:T3"/>
    <mergeCell ref="V1:V3"/>
    <mergeCell ref="U1:U3"/>
    <mergeCell ref="Q1:Q3"/>
    <mergeCell ref="R1:R3"/>
    <mergeCell ref="B1:B3"/>
    <mergeCell ref="C1:C3"/>
    <mergeCell ref="D1:D3"/>
    <mergeCell ref="F1:F3"/>
    <mergeCell ref="E1:E3"/>
    <mergeCell ref="O1:O3"/>
    <mergeCell ref="G1:G3"/>
    <mergeCell ref="L2:L3"/>
    <mergeCell ref="M1:M3"/>
    <mergeCell ref="N1:N3"/>
    <mergeCell ref="H1:H3"/>
    <mergeCell ref="I1:I3"/>
    <mergeCell ref="J1:J3"/>
  </mergeCells>
  <phoneticPr fontId="2"/>
  <dataValidations count="2">
    <dataValidation imeMode="disabled" allowBlank="1" showInputMessage="1" showErrorMessage="1" sqref="M56:Z66 X50:Z51 X52:X54 Y52:Z55 M50:W55 B5:K66 M5:Z49" xr:uid="{00000000-0002-0000-0900-000000000000}"/>
    <dataValidation allowBlank="1" showInputMessage="1" showErrorMessage="1" sqref="X55" xr:uid="{FFA90DFB-1B76-4889-9C16-7B5D63AAAA9A}"/>
  </dataValidations>
  <pageMargins left="0.74803149606299213" right="0.23622047244094491" top="1.1023622047244095" bottom="0.39370078740157483" header="0.59055118110236227" footer="0.31496062992125984"/>
  <pageSetup paperSize="9" scale="65" firstPageNumber="12" fitToWidth="0" orientation="portrait" r:id="rId3"/>
  <headerFooter alignWithMargins="0">
    <oddHeader xml:space="preserve">&amp;L&amp;"ＭＳ Ｐゴシック,太字"&amp;16&amp;K01+000ⅰ　歳入・歳出総額等
（令和４年度）&amp;"ＭＳ Ｐゴシック,標準"&amp;11
</oddHeader>
  </headerFooter>
  <rowBreaks count="1" manualBreakCount="1">
    <brk id="69" max="24" man="1"/>
  </rowBreaks>
  <colBreaks count="3" manualBreakCount="3">
    <brk id="6" max="68" man="1"/>
    <brk id="12" max="68" man="1"/>
    <brk id="19" max="68" man="1"/>
  </colBreaks>
  <drawing r:id="rId4"/>
  <legacy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BG131"/>
  <sheetViews>
    <sheetView showGridLines="0" view="pageBreakPreview" zoomScaleNormal="70" zoomScaleSheetLayoutView="100" workbookViewId="0">
      <pane xSplit="1" ySplit="4" topLeftCell="AX5" activePane="bottomRight" state="frozen"/>
      <selection pane="topRight" activeCell="J20" sqref="J19:J20"/>
      <selection pane="bottomLeft" activeCell="J20" sqref="J19:J20"/>
      <selection pane="bottomRight" activeCell="BF58" sqref="BF58"/>
    </sheetView>
  </sheetViews>
  <sheetFormatPr defaultRowHeight="13.2"/>
  <cols>
    <col min="1" max="1" width="12.44140625" customWidth="1"/>
    <col min="2" max="2" width="15" style="342" customWidth="1"/>
    <col min="3" max="3" width="6.44140625" style="329" customWidth="1"/>
    <col min="4" max="4" width="13.77734375" style="328" customWidth="1"/>
    <col min="5" max="5" width="6.44140625" style="340" customWidth="1"/>
    <col min="6" max="6" width="13.77734375" style="328" customWidth="1"/>
    <col min="7" max="7" width="6.44140625" customWidth="1"/>
    <col min="8" max="8" width="13.77734375" customWidth="1"/>
    <col min="9" max="9" width="6.44140625" customWidth="1"/>
    <col min="10" max="10" width="13.77734375" customWidth="1"/>
    <col min="11" max="11" width="6.21875" customWidth="1"/>
    <col min="12" max="12" width="13.77734375" customWidth="1"/>
    <col min="13" max="13" width="6.44140625" customWidth="1"/>
    <col min="14" max="14" width="13.77734375" customWidth="1"/>
    <col min="15" max="15" width="6.44140625" style="340" customWidth="1"/>
    <col min="16" max="16" width="13.77734375" customWidth="1"/>
    <col min="17" max="17" width="6.44140625" customWidth="1"/>
    <col min="18" max="18" width="13.77734375" customWidth="1"/>
    <col min="19" max="19" width="6.44140625" customWidth="1"/>
    <col min="20" max="20" width="13.77734375" customWidth="1"/>
    <col min="21" max="21" width="6.44140625" customWidth="1"/>
    <col min="22" max="22" width="13.77734375" customWidth="1"/>
    <col min="23" max="23" width="6.44140625" customWidth="1"/>
    <col min="24" max="24" width="13.77734375" customWidth="1"/>
    <col min="25" max="25" width="6.44140625" customWidth="1"/>
    <col min="26" max="26" width="16.109375" style="328" customWidth="1"/>
    <col min="27" max="27" width="6.21875" customWidth="1"/>
    <col min="28" max="29" width="13.6640625" customWidth="1"/>
    <col min="30" max="30" width="12.44140625" style="328" customWidth="1"/>
    <col min="31" max="31" width="13.77734375" customWidth="1"/>
    <col min="32" max="32" width="6.21875" customWidth="1"/>
    <col min="33" max="33" width="13.77734375" customWidth="1"/>
    <col min="34" max="34" width="6.21875" style="327" customWidth="1"/>
    <col min="35" max="35" width="16" style="328" customWidth="1"/>
    <col min="36" max="36" width="8.77734375" style="340" customWidth="1"/>
    <col min="37" max="37" width="16.88671875" customWidth="1"/>
    <col min="38" max="38" width="8.77734375" style="340" customWidth="1"/>
    <col min="39" max="39" width="16.88671875" customWidth="1"/>
    <col min="40" max="40" width="8.77734375" style="340" customWidth="1"/>
    <col min="41" max="41" width="16" customWidth="1"/>
    <col min="42" max="42" width="8.88671875" style="340" customWidth="1"/>
    <col min="43" max="43" width="16.6640625" customWidth="1"/>
    <col min="44" max="44" width="9.33203125" style="340" customWidth="1"/>
    <col min="45" max="45" width="16.6640625" customWidth="1"/>
    <col min="46" max="46" width="9.33203125" style="340" customWidth="1"/>
    <col min="47" max="47" width="16.6640625" customWidth="1"/>
    <col min="48" max="48" width="9.33203125" style="340" customWidth="1"/>
    <col min="49" max="49" width="16.6640625" customWidth="1"/>
    <col min="50" max="50" width="9.33203125" style="340" customWidth="1"/>
    <col min="51" max="51" width="16.44140625" customWidth="1"/>
    <col min="52" max="52" width="9.33203125" style="340" customWidth="1"/>
    <col min="53" max="53" width="16.44140625" customWidth="1"/>
    <col min="54" max="54" width="9.33203125" style="340" customWidth="1"/>
    <col min="55" max="55" width="16.44140625" customWidth="1"/>
    <col min="56" max="56" width="9.33203125" style="340" customWidth="1"/>
    <col min="57" max="57" width="16.44140625" customWidth="1"/>
    <col min="58" max="58" width="9.33203125" style="340" customWidth="1"/>
    <col min="59" max="59" width="11.33203125" customWidth="1"/>
    <col min="60" max="60" width="11.33203125" bestFit="1" customWidth="1"/>
  </cols>
  <sheetData>
    <row r="1" spans="1:59" ht="17.25" customHeight="1">
      <c r="A1" s="33" t="s">
        <v>395</v>
      </c>
      <c r="B1" s="2211" t="s">
        <v>604</v>
      </c>
      <c r="C1" s="2212"/>
      <c r="D1" s="2212" t="s">
        <v>605</v>
      </c>
      <c r="E1" s="2212"/>
      <c r="F1" s="2212" t="s">
        <v>606</v>
      </c>
      <c r="G1" s="2212"/>
      <c r="H1" s="2193" t="s">
        <v>607</v>
      </c>
      <c r="I1" s="2193"/>
      <c r="J1" s="2215" t="s">
        <v>608</v>
      </c>
      <c r="K1" s="2216"/>
      <c r="L1" s="2237" t="s">
        <v>609</v>
      </c>
      <c r="M1" s="2219"/>
      <c r="N1" s="2239" t="s">
        <v>610</v>
      </c>
      <c r="O1" s="2240"/>
      <c r="P1" s="2217" t="s">
        <v>611</v>
      </c>
      <c r="Q1" s="2218"/>
      <c r="R1" s="2047" t="s">
        <v>612</v>
      </c>
      <c r="S1" s="2219"/>
      <c r="T1" s="2243" t="s">
        <v>613</v>
      </c>
      <c r="U1" s="2244"/>
      <c r="V1" s="2047" t="s">
        <v>614</v>
      </c>
      <c r="W1" s="2048"/>
      <c r="X1" s="2237" t="s">
        <v>615</v>
      </c>
      <c r="Y1" s="2219"/>
      <c r="Z1" s="2211" t="s">
        <v>616</v>
      </c>
      <c r="AA1" s="2212"/>
      <c r="AB1" s="2219" t="s">
        <v>617</v>
      </c>
      <c r="AC1" s="2219"/>
      <c r="AD1" s="2193"/>
      <c r="AE1" s="2193" t="s">
        <v>618</v>
      </c>
      <c r="AF1" s="2193"/>
      <c r="AG1" s="2193" t="s">
        <v>619</v>
      </c>
      <c r="AH1" s="2216"/>
      <c r="AI1" s="2235" t="s">
        <v>620</v>
      </c>
      <c r="AJ1" s="2212"/>
      <c r="AK1" s="2193" t="s">
        <v>621</v>
      </c>
      <c r="AL1" s="2193"/>
      <c r="AM1" s="2193" t="s">
        <v>622</v>
      </c>
      <c r="AN1" s="2047"/>
      <c r="AO1" s="2229" t="s">
        <v>623</v>
      </c>
      <c r="AP1" s="2230"/>
      <c r="AQ1" s="2138" t="s">
        <v>624</v>
      </c>
      <c r="AR1" s="2200"/>
      <c r="AS1" s="2138" t="s">
        <v>625</v>
      </c>
      <c r="AT1" s="2200"/>
      <c r="AU1" s="2200" t="s">
        <v>626</v>
      </c>
      <c r="AV1" s="2200"/>
      <c r="AW1" s="2200" t="s">
        <v>627</v>
      </c>
      <c r="AX1" s="2226"/>
      <c r="AY1" s="2222" t="s">
        <v>628</v>
      </c>
      <c r="AZ1" s="2200"/>
      <c r="BA1" s="2200" t="s">
        <v>629</v>
      </c>
      <c r="BB1" s="2200"/>
      <c r="BC1" s="2200" t="s">
        <v>630</v>
      </c>
      <c r="BD1" s="2223"/>
      <c r="BE1" s="2225" t="s">
        <v>631</v>
      </c>
      <c r="BF1" s="2226"/>
    </row>
    <row r="2" spans="1:59" ht="17.25" customHeight="1">
      <c r="A2" s="40"/>
      <c r="B2" s="2213"/>
      <c r="C2" s="2214"/>
      <c r="D2" s="2214"/>
      <c r="E2" s="2214"/>
      <c r="F2" s="2214"/>
      <c r="G2" s="2214"/>
      <c r="H2" s="2128"/>
      <c r="I2" s="2128"/>
      <c r="J2" s="2128"/>
      <c r="K2" s="2177"/>
      <c r="L2" s="2238"/>
      <c r="M2" s="2132"/>
      <c r="N2" s="2241"/>
      <c r="O2" s="2242"/>
      <c r="P2" s="2233" t="s">
        <v>632</v>
      </c>
      <c r="Q2" s="2234"/>
      <c r="R2" s="2220"/>
      <c r="S2" s="2132"/>
      <c r="T2" s="2245"/>
      <c r="U2" s="2246"/>
      <c r="V2" s="2220"/>
      <c r="W2" s="2221"/>
      <c r="X2" s="2238"/>
      <c r="Y2" s="2132"/>
      <c r="Z2" s="2213"/>
      <c r="AA2" s="2214"/>
      <c r="AB2" s="2132"/>
      <c r="AC2" s="2132"/>
      <c r="AD2" s="2128"/>
      <c r="AE2" s="2128"/>
      <c r="AF2" s="2128"/>
      <c r="AG2" s="2128"/>
      <c r="AH2" s="2177"/>
      <c r="AI2" s="2236"/>
      <c r="AJ2" s="2214"/>
      <c r="AK2" s="2128"/>
      <c r="AL2" s="2128"/>
      <c r="AM2" s="2128"/>
      <c r="AN2" s="2220"/>
      <c r="AO2" s="2231" t="s">
        <v>633</v>
      </c>
      <c r="AP2" s="2232"/>
      <c r="AQ2" s="2164"/>
      <c r="AR2" s="2116"/>
      <c r="AS2" s="2164"/>
      <c r="AT2" s="2116"/>
      <c r="AU2" s="2116"/>
      <c r="AV2" s="2116"/>
      <c r="AW2" s="2116"/>
      <c r="AX2" s="2206"/>
      <c r="AY2" s="2033"/>
      <c r="AZ2" s="2116"/>
      <c r="BA2" s="2116"/>
      <c r="BB2" s="2116"/>
      <c r="BC2" s="2116"/>
      <c r="BD2" s="2224"/>
      <c r="BE2" s="2227"/>
      <c r="BF2" s="2206"/>
    </row>
    <row r="3" spans="1:59" ht="17.25" customHeight="1">
      <c r="A3" s="400"/>
      <c r="B3" s="46"/>
      <c r="C3" s="15" t="s">
        <v>634</v>
      </c>
      <c r="D3" s="14"/>
      <c r="E3" s="16" t="s">
        <v>634</v>
      </c>
      <c r="F3" s="14"/>
      <c r="G3" s="8" t="s">
        <v>634</v>
      </c>
      <c r="H3" s="4"/>
      <c r="I3" s="8" t="s">
        <v>634</v>
      </c>
      <c r="J3" s="10"/>
      <c r="K3" s="408" t="s">
        <v>634</v>
      </c>
      <c r="L3" s="92"/>
      <c r="M3" s="8" t="s">
        <v>634</v>
      </c>
      <c r="N3" s="1756"/>
      <c r="O3" s="16" t="s">
        <v>634</v>
      </c>
      <c r="P3" s="4"/>
      <c r="Q3" s="8" t="s">
        <v>634</v>
      </c>
      <c r="R3" s="1756"/>
      <c r="S3" s="396" t="s">
        <v>634</v>
      </c>
      <c r="T3" s="1756"/>
      <c r="U3" s="8" t="s">
        <v>634</v>
      </c>
      <c r="V3" s="1756"/>
      <c r="W3" s="408" t="s">
        <v>634</v>
      </c>
      <c r="X3" s="12"/>
      <c r="Y3" s="8" t="s">
        <v>634</v>
      </c>
      <c r="Z3" s="14"/>
      <c r="AA3" s="8" t="s">
        <v>634</v>
      </c>
      <c r="AB3" s="412" t="s">
        <v>580</v>
      </c>
      <c r="AC3" s="17" t="s">
        <v>635</v>
      </c>
      <c r="AD3" s="98" t="s">
        <v>636</v>
      </c>
      <c r="AE3" s="4"/>
      <c r="AF3" s="8" t="s">
        <v>634</v>
      </c>
      <c r="AG3" s="10"/>
      <c r="AH3" s="408" t="s">
        <v>634</v>
      </c>
      <c r="AI3" s="93"/>
      <c r="AJ3" s="16" t="s">
        <v>634</v>
      </c>
      <c r="AK3" s="1756"/>
      <c r="AL3" s="16" t="s">
        <v>634</v>
      </c>
      <c r="AM3" s="1756"/>
      <c r="AN3" s="28" t="s">
        <v>634</v>
      </c>
      <c r="AO3" s="1756"/>
      <c r="AP3" s="19" t="s">
        <v>634</v>
      </c>
      <c r="AQ3" s="4"/>
      <c r="AR3" s="16" t="s">
        <v>634</v>
      </c>
      <c r="AS3" s="4"/>
      <c r="AT3" s="16" t="s">
        <v>634</v>
      </c>
      <c r="AU3" s="4"/>
      <c r="AV3" s="16" t="s">
        <v>634</v>
      </c>
      <c r="AW3" s="1756"/>
      <c r="AX3" s="19" t="s">
        <v>634</v>
      </c>
      <c r="AY3" s="12"/>
      <c r="AZ3" s="16" t="s">
        <v>634</v>
      </c>
      <c r="BA3" s="1756"/>
      <c r="BB3" s="16" t="s">
        <v>634</v>
      </c>
      <c r="BC3" s="1756"/>
      <c r="BD3" s="18" t="s">
        <v>634</v>
      </c>
      <c r="BE3" s="20"/>
      <c r="BF3" s="19" t="s">
        <v>634</v>
      </c>
    </row>
    <row r="4" spans="1:59" ht="17.25" customHeight="1">
      <c r="A4" s="42" t="s">
        <v>419</v>
      </c>
      <c r="B4" s="82" t="s">
        <v>598</v>
      </c>
      <c r="C4" s="83" t="s">
        <v>137</v>
      </c>
      <c r="D4" s="84" t="s">
        <v>598</v>
      </c>
      <c r="E4" s="85" t="s">
        <v>137</v>
      </c>
      <c r="F4" s="84" t="s">
        <v>598</v>
      </c>
      <c r="G4" s="86" t="s">
        <v>137</v>
      </c>
      <c r="H4" s="86" t="s">
        <v>598</v>
      </c>
      <c r="I4" s="86" t="s">
        <v>137</v>
      </c>
      <c r="J4" s="86" t="s">
        <v>598</v>
      </c>
      <c r="K4" s="87" t="s">
        <v>137</v>
      </c>
      <c r="L4" s="91" t="s">
        <v>598</v>
      </c>
      <c r="M4" s="86" t="s">
        <v>137</v>
      </c>
      <c r="N4" s="86" t="s">
        <v>598</v>
      </c>
      <c r="O4" s="85" t="s">
        <v>137</v>
      </c>
      <c r="P4" s="86" t="s">
        <v>598</v>
      </c>
      <c r="Q4" s="86" t="s">
        <v>137</v>
      </c>
      <c r="R4" s="86" t="s">
        <v>598</v>
      </c>
      <c r="S4" s="397" t="s">
        <v>137</v>
      </c>
      <c r="T4" s="86" t="s">
        <v>598</v>
      </c>
      <c r="U4" s="86" t="s">
        <v>137</v>
      </c>
      <c r="V4" s="86" t="s">
        <v>598</v>
      </c>
      <c r="W4" s="87" t="s">
        <v>137</v>
      </c>
      <c r="X4" s="91" t="s">
        <v>598</v>
      </c>
      <c r="Y4" s="86" t="s">
        <v>137</v>
      </c>
      <c r="Z4" s="82" t="s">
        <v>598</v>
      </c>
      <c r="AA4" s="86" t="s">
        <v>137</v>
      </c>
      <c r="AB4" s="88" t="s">
        <v>598</v>
      </c>
      <c r="AC4" s="88" t="s">
        <v>598</v>
      </c>
      <c r="AD4" s="84" t="s">
        <v>598</v>
      </c>
      <c r="AE4" s="86" t="s">
        <v>598</v>
      </c>
      <c r="AF4" s="86" t="s">
        <v>137</v>
      </c>
      <c r="AG4" s="38" t="s">
        <v>598</v>
      </c>
      <c r="AH4" s="39" t="s">
        <v>137</v>
      </c>
      <c r="AI4" s="94" t="s">
        <v>598</v>
      </c>
      <c r="AJ4" s="85" t="s">
        <v>137</v>
      </c>
      <c r="AK4" s="86" t="s">
        <v>598</v>
      </c>
      <c r="AL4" s="85" t="s">
        <v>137</v>
      </c>
      <c r="AM4" s="86" t="s">
        <v>598</v>
      </c>
      <c r="AN4" s="89" t="s">
        <v>137</v>
      </c>
      <c r="AO4" s="38" t="s">
        <v>598</v>
      </c>
      <c r="AP4" s="51" t="s">
        <v>137</v>
      </c>
      <c r="AQ4" s="88" t="s">
        <v>598</v>
      </c>
      <c r="AR4" s="85" t="s">
        <v>137</v>
      </c>
      <c r="AS4" s="88" t="s">
        <v>598</v>
      </c>
      <c r="AT4" s="85" t="s">
        <v>137</v>
      </c>
      <c r="AU4" s="86" t="s">
        <v>598</v>
      </c>
      <c r="AV4" s="85" t="s">
        <v>137</v>
      </c>
      <c r="AW4" s="86" t="s">
        <v>598</v>
      </c>
      <c r="AX4" s="90" t="s">
        <v>137</v>
      </c>
      <c r="AY4" s="91" t="s">
        <v>598</v>
      </c>
      <c r="AZ4" s="85" t="s">
        <v>137</v>
      </c>
      <c r="BA4" s="38" t="s">
        <v>598</v>
      </c>
      <c r="BB4" s="123" t="s">
        <v>137</v>
      </c>
      <c r="BC4" s="38" t="s">
        <v>598</v>
      </c>
      <c r="BD4" s="124" t="s">
        <v>137</v>
      </c>
      <c r="BE4" s="52" t="s">
        <v>598</v>
      </c>
      <c r="BF4" s="51" t="s">
        <v>137</v>
      </c>
    </row>
    <row r="5" spans="1:59" s="327" customFormat="1" ht="15.75" customHeight="1">
      <c r="A5" s="127" t="s">
        <v>147</v>
      </c>
      <c r="B5" s="158">
        <v>32031925</v>
      </c>
      <c r="C5" s="168">
        <v>21.3</v>
      </c>
      <c r="D5" s="142">
        <v>789538</v>
      </c>
      <c r="E5" s="168">
        <v>0.6</v>
      </c>
      <c r="F5" s="142">
        <v>11322</v>
      </c>
      <c r="G5" s="168">
        <v>0</v>
      </c>
      <c r="H5" s="142">
        <v>82681</v>
      </c>
      <c r="I5" s="168">
        <v>0.1</v>
      </c>
      <c r="J5" s="142">
        <v>66714</v>
      </c>
      <c r="K5" s="139">
        <v>0</v>
      </c>
      <c r="L5" s="158">
        <v>6838038</v>
      </c>
      <c r="M5" s="168">
        <v>4.5999999999999996</v>
      </c>
      <c r="N5" s="142">
        <v>8288</v>
      </c>
      <c r="O5" s="168">
        <v>0</v>
      </c>
      <c r="P5" s="159">
        <v>0</v>
      </c>
      <c r="Q5" s="168">
        <v>0</v>
      </c>
      <c r="R5" s="159">
        <v>0</v>
      </c>
      <c r="S5" s="168">
        <v>0</v>
      </c>
      <c r="T5" s="143">
        <v>62707</v>
      </c>
      <c r="U5" s="131">
        <v>0</v>
      </c>
      <c r="V5" s="143">
        <v>483577</v>
      </c>
      <c r="W5" s="172">
        <v>0.3</v>
      </c>
      <c r="X5" s="130">
        <v>204979</v>
      </c>
      <c r="Y5" s="131">
        <v>0.1</v>
      </c>
      <c r="Z5" s="259">
        <v>33827854</v>
      </c>
      <c r="AA5" s="131">
        <v>22.5</v>
      </c>
      <c r="AB5" s="259">
        <v>31676028</v>
      </c>
      <c r="AC5" s="259">
        <v>2151826</v>
      </c>
      <c r="AD5" s="143">
        <v>0</v>
      </c>
      <c r="AE5" s="143">
        <v>35013</v>
      </c>
      <c r="AF5" s="131">
        <v>0</v>
      </c>
      <c r="AG5" s="143">
        <v>218284</v>
      </c>
      <c r="AH5" s="172">
        <v>0.2</v>
      </c>
      <c r="AI5" s="158">
        <v>2054677</v>
      </c>
      <c r="AJ5" s="168">
        <v>1.4</v>
      </c>
      <c r="AK5" s="142">
        <v>1235331</v>
      </c>
      <c r="AL5" s="168">
        <v>0.8</v>
      </c>
      <c r="AM5" s="142">
        <v>40896004</v>
      </c>
      <c r="AN5" s="260">
        <v>27.2</v>
      </c>
      <c r="AO5" s="261">
        <v>1742</v>
      </c>
      <c r="AP5" s="262">
        <v>0</v>
      </c>
      <c r="AQ5" s="263">
        <v>9307468</v>
      </c>
      <c r="AR5" s="264">
        <v>6.2</v>
      </c>
      <c r="AS5" s="265">
        <v>334471</v>
      </c>
      <c r="AT5" s="264">
        <v>0.2</v>
      </c>
      <c r="AU5" s="261">
        <v>1537779</v>
      </c>
      <c r="AV5" s="264">
        <v>1</v>
      </c>
      <c r="AW5" s="261">
        <v>1803664</v>
      </c>
      <c r="AX5" s="262">
        <v>1.2</v>
      </c>
      <c r="AY5" s="158">
        <v>4050004</v>
      </c>
      <c r="AZ5" s="168">
        <v>2.7</v>
      </c>
      <c r="BA5" s="141">
        <v>6827534</v>
      </c>
      <c r="BB5" s="136">
        <v>4.5999999999999996</v>
      </c>
      <c r="BC5" s="141">
        <v>7453600</v>
      </c>
      <c r="BD5" s="266">
        <v>5</v>
      </c>
      <c r="BE5" s="175">
        <v>150163194</v>
      </c>
      <c r="BF5" s="1677">
        <v>100</v>
      </c>
      <c r="BG5" s="337"/>
    </row>
    <row r="6" spans="1:59" s="327" customFormat="1" ht="15.75" customHeight="1">
      <c r="A6" s="369" t="s">
        <v>149</v>
      </c>
      <c r="B6" s="501">
        <v>40481178</v>
      </c>
      <c r="C6" s="533">
        <v>21</v>
      </c>
      <c r="D6" s="530">
        <v>1455912</v>
      </c>
      <c r="E6" s="533">
        <v>0.8</v>
      </c>
      <c r="F6" s="530">
        <v>14517</v>
      </c>
      <c r="G6" s="533">
        <v>0</v>
      </c>
      <c r="H6" s="530">
        <v>106401</v>
      </c>
      <c r="I6" s="533">
        <v>0.1</v>
      </c>
      <c r="J6" s="530">
        <v>86056</v>
      </c>
      <c r="K6" s="1680">
        <v>0</v>
      </c>
      <c r="L6" s="501">
        <v>8856901</v>
      </c>
      <c r="M6" s="533">
        <v>4.5999999999999996</v>
      </c>
      <c r="N6" s="530">
        <v>14415</v>
      </c>
      <c r="O6" s="533">
        <v>0</v>
      </c>
      <c r="P6" s="1715">
        <v>0</v>
      </c>
      <c r="Q6" s="533">
        <v>0</v>
      </c>
      <c r="R6" s="1715">
        <v>0</v>
      </c>
      <c r="S6" s="533">
        <v>0</v>
      </c>
      <c r="T6" s="498">
        <v>100066</v>
      </c>
      <c r="U6" s="497">
        <v>0</v>
      </c>
      <c r="V6" s="498">
        <v>605729</v>
      </c>
      <c r="W6" s="1757">
        <v>0.3</v>
      </c>
      <c r="X6" s="495">
        <v>275084</v>
      </c>
      <c r="Y6" s="497">
        <v>0.1</v>
      </c>
      <c r="Z6" s="496">
        <v>34270938</v>
      </c>
      <c r="AA6" s="497">
        <v>17.8</v>
      </c>
      <c r="AB6" s="496">
        <v>32714251</v>
      </c>
      <c r="AC6" s="496">
        <v>1556687</v>
      </c>
      <c r="AD6" s="498">
        <v>0</v>
      </c>
      <c r="AE6" s="498">
        <v>46463</v>
      </c>
      <c r="AF6" s="497">
        <v>0</v>
      </c>
      <c r="AG6" s="498">
        <v>979942</v>
      </c>
      <c r="AH6" s="1757">
        <v>0.5</v>
      </c>
      <c r="AI6" s="501">
        <v>2219261</v>
      </c>
      <c r="AJ6" s="533">
        <v>1.2</v>
      </c>
      <c r="AK6" s="530">
        <v>1273117</v>
      </c>
      <c r="AL6" s="533">
        <v>0.7</v>
      </c>
      <c r="AM6" s="530">
        <v>52393788</v>
      </c>
      <c r="AN6" s="1681">
        <v>27.2</v>
      </c>
      <c r="AO6" s="612">
        <v>275048</v>
      </c>
      <c r="AP6" s="1758">
        <v>0.1</v>
      </c>
      <c r="AQ6" s="613">
        <v>15644039</v>
      </c>
      <c r="AR6" s="614">
        <v>8.1</v>
      </c>
      <c r="AS6" s="612">
        <v>178024</v>
      </c>
      <c r="AT6" s="614">
        <v>0.1</v>
      </c>
      <c r="AU6" s="612">
        <v>2313780</v>
      </c>
      <c r="AV6" s="614">
        <v>1.2</v>
      </c>
      <c r="AW6" s="612">
        <v>2655951</v>
      </c>
      <c r="AX6" s="1758">
        <v>1.4</v>
      </c>
      <c r="AY6" s="501">
        <v>4207417</v>
      </c>
      <c r="AZ6" s="533">
        <v>2.2000000000000002</v>
      </c>
      <c r="BA6" s="530">
        <v>8575291</v>
      </c>
      <c r="BB6" s="533">
        <v>4.5</v>
      </c>
      <c r="BC6" s="530">
        <v>15574156</v>
      </c>
      <c r="BD6" s="615">
        <v>8.1</v>
      </c>
      <c r="BE6" s="616">
        <f>SUM(B6,D6,F6,H6,J6,L6,N6,P6,R6,T6,V6,X6,Z6,AE6,AG6,AI6,AK6,AM6,AO6,AQ6,AS6,AU6,AW6,AY6,BA6,BC6)</f>
        <v>192603474</v>
      </c>
      <c r="BF6" s="1680">
        <f>SUM(C6,E6,G6,I6,K6,M6,O6,Q6,S6,U6,W6,Y6,AA6,AF6,AH6,AJ6,AL6,AN6,AP6,AR6,AT6,AV6,AX6,AZ6,BB6,BD6)</f>
        <v>100</v>
      </c>
      <c r="BG6" s="337"/>
    </row>
    <row r="7" spans="1:59" s="327" customFormat="1" ht="15.75" customHeight="1">
      <c r="A7" s="127" t="s">
        <v>150</v>
      </c>
      <c r="B7" s="238">
        <v>34298236</v>
      </c>
      <c r="C7" s="242">
        <v>24.9</v>
      </c>
      <c r="D7" s="241">
        <v>935656</v>
      </c>
      <c r="E7" s="242">
        <v>0.7</v>
      </c>
      <c r="F7" s="241">
        <v>13640</v>
      </c>
      <c r="G7" s="242">
        <v>0</v>
      </c>
      <c r="H7" s="241">
        <v>77201</v>
      </c>
      <c r="I7" s="242">
        <v>0.1</v>
      </c>
      <c r="J7" s="241">
        <v>51622</v>
      </c>
      <c r="K7" s="1683">
        <v>0</v>
      </c>
      <c r="L7" s="238">
        <v>7081423</v>
      </c>
      <c r="M7" s="242">
        <v>5.2</v>
      </c>
      <c r="N7" s="241">
        <v>22686</v>
      </c>
      <c r="O7" s="242">
        <v>0</v>
      </c>
      <c r="P7" s="1720" t="s">
        <v>153</v>
      </c>
      <c r="Q7" s="242" t="s">
        <v>153</v>
      </c>
      <c r="R7" s="1720">
        <v>3805</v>
      </c>
      <c r="S7" s="242">
        <v>0</v>
      </c>
      <c r="T7" s="235">
        <v>66963</v>
      </c>
      <c r="U7" s="232">
        <v>0</v>
      </c>
      <c r="V7" s="235">
        <v>526095</v>
      </c>
      <c r="W7" s="1759">
        <v>0.4</v>
      </c>
      <c r="X7" s="233">
        <v>291289</v>
      </c>
      <c r="Y7" s="232">
        <v>0.2</v>
      </c>
      <c r="Z7" s="240">
        <v>29229794</v>
      </c>
      <c r="AA7" s="232">
        <v>21.3</v>
      </c>
      <c r="AB7" s="240">
        <v>25230411</v>
      </c>
      <c r="AC7" s="240">
        <v>3999230</v>
      </c>
      <c r="AD7" s="235">
        <v>153</v>
      </c>
      <c r="AE7" s="235">
        <v>36326</v>
      </c>
      <c r="AF7" s="232">
        <v>0</v>
      </c>
      <c r="AG7" s="235">
        <v>441451</v>
      </c>
      <c r="AH7" s="1759">
        <v>0.3</v>
      </c>
      <c r="AI7" s="238">
        <v>1160151</v>
      </c>
      <c r="AJ7" s="242">
        <v>0.8</v>
      </c>
      <c r="AK7" s="241">
        <v>600271</v>
      </c>
      <c r="AL7" s="242">
        <v>0.4</v>
      </c>
      <c r="AM7" s="241">
        <v>36506375</v>
      </c>
      <c r="AN7" s="1684">
        <v>26.5</v>
      </c>
      <c r="AO7" s="272">
        <v>3254</v>
      </c>
      <c r="AP7" s="1760">
        <v>0</v>
      </c>
      <c r="AQ7" s="273">
        <v>10381233</v>
      </c>
      <c r="AR7" s="274">
        <v>7.6</v>
      </c>
      <c r="AS7" s="272">
        <v>249688</v>
      </c>
      <c r="AT7" s="274">
        <v>0.2</v>
      </c>
      <c r="AU7" s="272">
        <v>657159</v>
      </c>
      <c r="AV7" s="274">
        <v>0.5</v>
      </c>
      <c r="AW7" s="272">
        <v>1937962</v>
      </c>
      <c r="AX7" s="1760">
        <v>1.4</v>
      </c>
      <c r="AY7" s="238">
        <v>2723967</v>
      </c>
      <c r="AZ7" s="242">
        <v>2</v>
      </c>
      <c r="BA7" s="241">
        <v>3439919</v>
      </c>
      <c r="BB7" s="242">
        <v>2.5</v>
      </c>
      <c r="BC7" s="241">
        <v>6809654</v>
      </c>
      <c r="BD7" s="385">
        <v>5</v>
      </c>
      <c r="BE7" s="252">
        <v>137545820</v>
      </c>
      <c r="BF7" s="1683">
        <v>100</v>
      </c>
      <c r="BG7" s="337"/>
    </row>
    <row r="8" spans="1:59" s="327" customFormat="1" ht="15.75" customHeight="1">
      <c r="A8" s="369" t="s">
        <v>152</v>
      </c>
      <c r="B8" s="103">
        <v>30852001</v>
      </c>
      <c r="C8" s="104">
        <v>27.8</v>
      </c>
      <c r="D8" s="105">
        <v>779109</v>
      </c>
      <c r="E8" s="104">
        <v>0.7</v>
      </c>
      <c r="F8" s="105">
        <v>11690</v>
      </c>
      <c r="G8" s="104">
        <v>0</v>
      </c>
      <c r="H8" s="105">
        <v>66501</v>
      </c>
      <c r="I8" s="104">
        <v>0.1</v>
      </c>
      <c r="J8" s="105">
        <v>44555</v>
      </c>
      <c r="K8" s="1694">
        <v>0</v>
      </c>
      <c r="L8" s="103">
        <v>5832301</v>
      </c>
      <c r="M8" s="104">
        <v>5.3</v>
      </c>
      <c r="N8" s="105">
        <v>3132</v>
      </c>
      <c r="O8" s="104">
        <v>0</v>
      </c>
      <c r="P8" s="1723">
        <v>5832301</v>
      </c>
      <c r="Q8" s="104">
        <v>5.3</v>
      </c>
      <c r="R8" s="1723">
        <v>3161</v>
      </c>
      <c r="S8" s="104">
        <v>0</v>
      </c>
      <c r="T8" s="101">
        <v>55532</v>
      </c>
      <c r="U8" s="99">
        <v>0.1</v>
      </c>
      <c r="V8" s="101">
        <v>427775</v>
      </c>
      <c r="W8" s="1761">
        <v>0.4</v>
      </c>
      <c r="X8" s="100">
        <v>265838</v>
      </c>
      <c r="Y8" s="99">
        <v>0.2</v>
      </c>
      <c r="Z8" s="102">
        <v>18362670</v>
      </c>
      <c r="AA8" s="99">
        <v>16.5</v>
      </c>
      <c r="AB8" s="102">
        <v>15576639</v>
      </c>
      <c r="AC8" s="102">
        <v>1901032</v>
      </c>
      <c r="AD8" s="101">
        <v>884999</v>
      </c>
      <c r="AE8" s="101">
        <v>30877</v>
      </c>
      <c r="AF8" s="99">
        <v>0</v>
      </c>
      <c r="AG8" s="101">
        <v>150681</v>
      </c>
      <c r="AH8" s="1761">
        <v>0.1</v>
      </c>
      <c r="AI8" s="75">
        <v>881300</v>
      </c>
      <c r="AJ8" s="74">
        <v>0.8</v>
      </c>
      <c r="AK8" s="76">
        <v>525807</v>
      </c>
      <c r="AL8" s="1687">
        <v>0.5</v>
      </c>
      <c r="AM8" s="187">
        <v>26386689</v>
      </c>
      <c r="AN8" s="1703">
        <v>23.8</v>
      </c>
      <c r="AO8" s="193">
        <v>490774</v>
      </c>
      <c r="AP8" s="1705">
        <v>0.4</v>
      </c>
      <c r="AQ8" s="269">
        <v>8836042</v>
      </c>
      <c r="AR8" s="270">
        <v>8</v>
      </c>
      <c r="AS8" s="187">
        <v>667686</v>
      </c>
      <c r="AT8" s="270">
        <v>0.6</v>
      </c>
      <c r="AU8" s="187">
        <v>168539</v>
      </c>
      <c r="AV8" s="270">
        <v>0.2</v>
      </c>
      <c r="AW8" s="76">
        <v>2323584</v>
      </c>
      <c r="AX8" s="1686">
        <v>2.1</v>
      </c>
      <c r="AY8" s="75">
        <v>4102415</v>
      </c>
      <c r="AZ8" s="74">
        <v>3.7</v>
      </c>
      <c r="BA8" s="76">
        <v>2681265</v>
      </c>
      <c r="BB8" s="1687">
        <v>2.4</v>
      </c>
      <c r="BC8" s="76">
        <v>7045801</v>
      </c>
      <c r="BD8" s="1687">
        <v>6.3</v>
      </c>
      <c r="BE8" s="122">
        <v>110995725</v>
      </c>
      <c r="BF8" s="1694">
        <v>100</v>
      </c>
      <c r="BG8" s="337"/>
    </row>
    <row r="9" spans="1:59" s="327" customFormat="1" ht="15.75" customHeight="1">
      <c r="A9" s="127" t="s">
        <v>154</v>
      </c>
      <c r="B9" s="238">
        <v>42529791</v>
      </c>
      <c r="C9" s="271">
        <v>30.5</v>
      </c>
      <c r="D9" s="245">
        <v>940695</v>
      </c>
      <c r="E9" s="242">
        <v>0.7</v>
      </c>
      <c r="F9" s="241">
        <v>12998</v>
      </c>
      <c r="G9" s="242">
        <v>0</v>
      </c>
      <c r="H9" s="241">
        <v>101668</v>
      </c>
      <c r="I9" s="242">
        <v>0.1</v>
      </c>
      <c r="J9" s="241">
        <v>76968</v>
      </c>
      <c r="K9" s="1683">
        <v>0.1</v>
      </c>
      <c r="L9" s="238">
        <v>7715152</v>
      </c>
      <c r="M9" s="242">
        <v>5.5</v>
      </c>
      <c r="N9" s="241">
        <v>19167</v>
      </c>
      <c r="O9" s="242">
        <v>0</v>
      </c>
      <c r="P9" s="1720" t="s">
        <v>153</v>
      </c>
      <c r="Q9" s="242" t="s">
        <v>153</v>
      </c>
      <c r="R9" s="1720">
        <v>818</v>
      </c>
      <c r="S9" s="242">
        <v>0</v>
      </c>
      <c r="T9" s="235">
        <v>47175</v>
      </c>
      <c r="U9" s="232">
        <v>0</v>
      </c>
      <c r="V9" s="235">
        <v>636786</v>
      </c>
      <c r="W9" s="1759">
        <v>0.5</v>
      </c>
      <c r="X9" s="233">
        <v>290582</v>
      </c>
      <c r="Y9" s="232">
        <v>0.2</v>
      </c>
      <c r="Z9" s="240">
        <v>16082676</v>
      </c>
      <c r="AA9" s="232">
        <v>11.6</v>
      </c>
      <c r="AB9" s="240">
        <v>14646062</v>
      </c>
      <c r="AC9" s="243">
        <v>1431105</v>
      </c>
      <c r="AD9" s="235">
        <v>5509</v>
      </c>
      <c r="AE9" s="240">
        <v>53649</v>
      </c>
      <c r="AF9" s="232">
        <v>0</v>
      </c>
      <c r="AG9" s="235">
        <v>638347</v>
      </c>
      <c r="AH9" s="1759">
        <v>0.5</v>
      </c>
      <c r="AI9" s="238">
        <v>1049408</v>
      </c>
      <c r="AJ9" s="242">
        <v>0.8</v>
      </c>
      <c r="AK9" s="1720">
        <v>442313</v>
      </c>
      <c r="AL9" s="1684">
        <v>0.3</v>
      </c>
      <c r="AM9" s="272">
        <v>33303684</v>
      </c>
      <c r="AN9" s="1762">
        <v>23.9</v>
      </c>
      <c r="AO9" s="251" t="s">
        <v>153</v>
      </c>
      <c r="AP9" s="1760" t="s">
        <v>153</v>
      </c>
      <c r="AQ9" s="273">
        <v>10858050</v>
      </c>
      <c r="AR9" s="274">
        <v>7.8</v>
      </c>
      <c r="AS9" s="275">
        <v>886571</v>
      </c>
      <c r="AT9" s="274">
        <v>0.6</v>
      </c>
      <c r="AU9" s="272">
        <v>321824</v>
      </c>
      <c r="AV9" s="274">
        <v>0.2</v>
      </c>
      <c r="AW9" s="241">
        <v>5211618</v>
      </c>
      <c r="AX9" s="1683">
        <v>3.8</v>
      </c>
      <c r="AY9" s="238">
        <v>2555283</v>
      </c>
      <c r="AZ9" s="242">
        <v>1.8</v>
      </c>
      <c r="BA9" s="241">
        <v>1688202</v>
      </c>
      <c r="BB9" s="1684">
        <v>1.2</v>
      </c>
      <c r="BC9" s="241">
        <v>13840296</v>
      </c>
      <c r="BD9" s="1684">
        <v>9.9</v>
      </c>
      <c r="BE9" s="252">
        <v>139303721</v>
      </c>
      <c r="BF9" s="1677">
        <v>100</v>
      </c>
      <c r="BG9" s="337"/>
    </row>
    <row r="10" spans="1:59" s="327" customFormat="1" ht="15.75" customHeight="1">
      <c r="A10" s="369" t="s">
        <v>155</v>
      </c>
      <c r="B10" s="103">
        <v>43281791</v>
      </c>
      <c r="C10" s="204">
        <v>28.4</v>
      </c>
      <c r="D10" s="113">
        <v>1085541</v>
      </c>
      <c r="E10" s="104">
        <v>0.7</v>
      </c>
      <c r="F10" s="105">
        <v>12732</v>
      </c>
      <c r="G10" s="104">
        <v>0</v>
      </c>
      <c r="H10" s="105">
        <v>102004</v>
      </c>
      <c r="I10" s="104">
        <v>0.1</v>
      </c>
      <c r="J10" s="105">
        <v>85451</v>
      </c>
      <c r="K10" s="1694">
        <v>0.1</v>
      </c>
      <c r="L10" s="103">
        <v>8230562</v>
      </c>
      <c r="M10" s="104">
        <v>5.4</v>
      </c>
      <c r="N10" s="105">
        <v>55821</v>
      </c>
      <c r="O10" s="104">
        <v>0</v>
      </c>
      <c r="P10" s="1723" t="s">
        <v>148</v>
      </c>
      <c r="Q10" s="104" t="s">
        <v>148</v>
      </c>
      <c r="R10" s="1723">
        <v>642</v>
      </c>
      <c r="S10" s="104">
        <v>0</v>
      </c>
      <c r="T10" s="101">
        <v>55699</v>
      </c>
      <c r="U10" s="99">
        <v>0</v>
      </c>
      <c r="V10" s="101">
        <v>693218</v>
      </c>
      <c r="W10" s="1761">
        <v>0.5</v>
      </c>
      <c r="X10" s="100">
        <v>367015</v>
      </c>
      <c r="Y10" s="99">
        <v>0.2</v>
      </c>
      <c r="Z10" s="102">
        <v>21891338</v>
      </c>
      <c r="AA10" s="99">
        <v>14.4</v>
      </c>
      <c r="AB10" s="102">
        <v>20090762</v>
      </c>
      <c r="AC10" s="109">
        <v>1800576</v>
      </c>
      <c r="AD10" s="101" t="s">
        <v>148</v>
      </c>
      <c r="AE10" s="102">
        <v>59277</v>
      </c>
      <c r="AF10" s="99">
        <v>0</v>
      </c>
      <c r="AG10" s="101">
        <v>489365</v>
      </c>
      <c r="AH10" s="1761">
        <v>0.3</v>
      </c>
      <c r="AI10" s="75">
        <v>1096653</v>
      </c>
      <c r="AJ10" s="74">
        <v>0.7</v>
      </c>
      <c r="AK10" s="1726">
        <v>1176791</v>
      </c>
      <c r="AL10" s="1687">
        <v>0.8</v>
      </c>
      <c r="AM10" s="187">
        <v>33889543</v>
      </c>
      <c r="AN10" s="1703">
        <v>22.2</v>
      </c>
      <c r="AO10" s="193">
        <v>3009</v>
      </c>
      <c r="AP10" s="1705">
        <v>0</v>
      </c>
      <c r="AQ10" s="269">
        <v>10487089</v>
      </c>
      <c r="AR10" s="270">
        <v>6.9</v>
      </c>
      <c r="AS10" s="276">
        <v>502727</v>
      </c>
      <c r="AT10" s="270">
        <v>0.3</v>
      </c>
      <c r="AU10" s="187">
        <v>384103</v>
      </c>
      <c r="AV10" s="270">
        <v>0.3</v>
      </c>
      <c r="AW10" s="76">
        <v>3972931</v>
      </c>
      <c r="AX10" s="1686">
        <v>2.6</v>
      </c>
      <c r="AY10" s="75">
        <v>2513994</v>
      </c>
      <c r="AZ10" s="74">
        <v>1.7</v>
      </c>
      <c r="BA10" s="76">
        <v>9579042</v>
      </c>
      <c r="BB10" s="1687">
        <v>6.3</v>
      </c>
      <c r="BC10" s="76">
        <v>12405700</v>
      </c>
      <c r="BD10" s="1687">
        <v>8.1</v>
      </c>
      <c r="BE10" s="122">
        <v>152422038</v>
      </c>
      <c r="BF10" s="1694">
        <v>100</v>
      </c>
      <c r="BG10" s="337"/>
    </row>
    <row r="11" spans="1:59" s="327" customFormat="1" ht="15.75" customHeight="1">
      <c r="A11" s="230" t="s">
        <v>156</v>
      </c>
      <c r="B11" s="238">
        <v>36504766</v>
      </c>
      <c r="C11" s="271">
        <v>30.4</v>
      </c>
      <c r="D11" s="245">
        <v>655398</v>
      </c>
      <c r="E11" s="242">
        <v>0.5</v>
      </c>
      <c r="F11" s="241">
        <v>12348</v>
      </c>
      <c r="G11" s="242">
        <v>0</v>
      </c>
      <c r="H11" s="241">
        <v>107363</v>
      </c>
      <c r="I11" s="242">
        <v>0.1</v>
      </c>
      <c r="J11" s="241">
        <v>75454</v>
      </c>
      <c r="K11" s="1683">
        <v>0.1</v>
      </c>
      <c r="L11" s="238">
        <v>6571889</v>
      </c>
      <c r="M11" s="242">
        <v>5.5</v>
      </c>
      <c r="N11" s="241">
        <v>2358</v>
      </c>
      <c r="O11" s="242">
        <v>0</v>
      </c>
      <c r="P11" s="1720" t="s">
        <v>153</v>
      </c>
      <c r="Q11" s="242" t="s">
        <v>153</v>
      </c>
      <c r="R11" s="1720">
        <v>933</v>
      </c>
      <c r="S11" s="242">
        <v>0</v>
      </c>
      <c r="T11" s="235">
        <v>55123</v>
      </c>
      <c r="U11" s="232">
        <v>0</v>
      </c>
      <c r="V11" s="235">
        <v>519954</v>
      </c>
      <c r="W11" s="1759">
        <v>0.4</v>
      </c>
      <c r="X11" s="233">
        <v>291722</v>
      </c>
      <c r="Y11" s="232">
        <v>0.2</v>
      </c>
      <c r="Z11" s="240">
        <v>11486953</v>
      </c>
      <c r="AA11" s="232">
        <v>9.6</v>
      </c>
      <c r="AB11" s="240">
        <v>10208853</v>
      </c>
      <c r="AC11" s="243">
        <v>1278008</v>
      </c>
      <c r="AD11" s="235">
        <v>92</v>
      </c>
      <c r="AE11" s="240">
        <v>43622</v>
      </c>
      <c r="AF11" s="232">
        <v>0</v>
      </c>
      <c r="AG11" s="235">
        <v>918641</v>
      </c>
      <c r="AH11" s="1759">
        <v>0.8</v>
      </c>
      <c r="AI11" s="238">
        <v>798977</v>
      </c>
      <c r="AJ11" s="242">
        <v>0.7</v>
      </c>
      <c r="AK11" s="1720">
        <v>663592</v>
      </c>
      <c r="AL11" s="1684">
        <v>0.5</v>
      </c>
      <c r="AM11" s="272">
        <v>25179356</v>
      </c>
      <c r="AN11" s="1762">
        <v>21</v>
      </c>
      <c r="AO11" s="251" t="s">
        <v>153</v>
      </c>
      <c r="AP11" s="1760" t="s">
        <v>153</v>
      </c>
      <c r="AQ11" s="273">
        <v>8082894</v>
      </c>
      <c r="AR11" s="274">
        <v>6.7</v>
      </c>
      <c r="AS11" s="275">
        <v>188531</v>
      </c>
      <c r="AT11" s="274">
        <v>0.2</v>
      </c>
      <c r="AU11" s="272">
        <v>4387042</v>
      </c>
      <c r="AV11" s="274">
        <v>3.7</v>
      </c>
      <c r="AW11" s="241">
        <v>2893964</v>
      </c>
      <c r="AX11" s="1683">
        <v>2.4</v>
      </c>
      <c r="AY11" s="238">
        <v>4989815</v>
      </c>
      <c r="AZ11" s="242">
        <v>4.2</v>
      </c>
      <c r="BA11" s="241">
        <v>5730495</v>
      </c>
      <c r="BB11" s="1684">
        <v>4.8</v>
      </c>
      <c r="BC11" s="241">
        <v>9879800</v>
      </c>
      <c r="BD11" s="1684">
        <v>8.1999999999999993</v>
      </c>
      <c r="BE11" s="252">
        <v>120040990</v>
      </c>
      <c r="BF11" s="1683">
        <v>99.999999999999986</v>
      </c>
      <c r="BG11" s="337"/>
    </row>
    <row r="12" spans="1:59" s="327" customFormat="1" ht="15.75" customHeight="1">
      <c r="A12" s="369" t="s">
        <v>157</v>
      </c>
      <c r="B12" s="627">
        <v>40396317</v>
      </c>
      <c r="C12" s="632">
        <v>30</v>
      </c>
      <c r="D12" s="633">
        <v>990875</v>
      </c>
      <c r="E12" s="630">
        <v>0.7</v>
      </c>
      <c r="F12" s="628">
        <v>14425</v>
      </c>
      <c r="G12" s="630">
        <v>0</v>
      </c>
      <c r="H12" s="628">
        <v>142169</v>
      </c>
      <c r="I12" s="630">
        <v>0.1</v>
      </c>
      <c r="J12" s="628">
        <v>99682</v>
      </c>
      <c r="K12" s="1685">
        <v>0.1</v>
      </c>
      <c r="L12" s="627">
        <v>7617019</v>
      </c>
      <c r="M12" s="630">
        <v>5.7</v>
      </c>
      <c r="N12" s="628">
        <v>5774</v>
      </c>
      <c r="O12" s="630">
        <v>0</v>
      </c>
      <c r="P12" s="1379">
        <v>7617019</v>
      </c>
      <c r="Q12" s="630">
        <v>5.7</v>
      </c>
      <c r="R12" s="1379" t="s">
        <v>148</v>
      </c>
      <c r="S12" s="630" t="s">
        <v>148</v>
      </c>
      <c r="T12" s="564">
        <v>64279</v>
      </c>
      <c r="U12" s="634">
        <v>0.1</v>
      </c>
      <c r="V12" s="564">
        <v>708843</v>
      </c>
      <c r="W12" s="1453">
        <v>0.5</v>
      </c>
      <c r="X12" s="563">
        <v>294549</v>
      </c>
      <c r="Y12" s="634">
        <v>0.2</v>
      </c>
      <c r="Z12" s="635">
        <v>15223268</v>
      </c>
      <c r="AA12" s="634">
        <v>11.3</v>
      </c>
      <c r="AB12" s="635">
        <v>11046633</v>
      </c>
      <c r="AC12" s="550">
        <v>3631957</v>
      </c>
      <c r="AD12" s="564">
        <v>544678</v>
      </c>
      <c r="AE12" s="635">
        <v>38975</v>
      </c>
      <c r="AF12" s="634">
        <v>0</v>
      </c>
      <c r="AG12" s="564">
        <v>512200</v>
      </c>
      <c r="AH12" s="1453">
        <v>0.4</v>
      </c>
      <c r="AI12" s="627">
        <v>1091467</v>
      </c>
      <c r="AJ12" s="630">
        <v>0.8</v>
      </c>
      <c r="AK12" s="1379">
        <v>472952</v>
      </c>
      <c r="AL12" s="1487">
        <v>0.4</v>
      </c>
      <c r="AM12" s="540">
        <v>28429336</v>
      </c>
      <c r="AN12" s="1692">
        <v>21.1</v>
      </c>
      <c r="AO12" s="636">
        <v>1932</v>
      </c>
      <c r="AP12" s="1690">
        <v>0</v>
      </c>
      <c r="AQ12" s="539">
        <v>11733987</v>
      </c>
      <c r="AR12" s="543">
        <v>8.6999999999999993</v>
      </c>
      <c r="AS12" s="620">
        <v>323510</v>
      </c>
      <c r="AT12" s="543">
        <v>0.2</v>
      </c>
      <c r="AU12" s="540">
        <v>1552950</v>
      </c>
      <c r="AV12" s="543">
        <v>1.2</v>
      </c>
      <c r="AW12" s="628">
        <v>2641107</v>
      </c>
      <c r="AX12" s="1685">
        <v>2</v>
      </c>
      <c r="AY12" s="627">
        <v>10572105</v>
      </c>
      <c r="AZ12" s="630">
        <v>7.8</v>
      </c>
      <c r="BA12" s="628">
        <v>2892254</v>
      </c>
      <c r="BB12" s="1487">
        <v>2.1</v>
      </c>
      <c r="BC12" s="628">
        <v>8951550</v>
      </c>
      <c r="BD12" s="1487">
        <v>6.6</v>
      </c>
      <c r="BE12" s="637">
        <v>134771525</v>
      </c>
      <c r="BF12" s="1685">
        <v>100</v>
      </c>
      <c r="BG12" s="337"/>
    </row>
    <row r="13" spans="1:59" s="327" customFormat="1" ht="15.75" customHeight="1">
      <c r="A13" s="230" t="s">
        <v>158</v>
      </c>
      <c r="B13" s="238">
        <v>51751042</v>
      </c>
      <c r="C13" s="271">
        <v>33.1</v>
      </c>
      <c r="D13" s="245">
        <v>1217257</v>
      </c>
      <c r="E13" s="242">
        <v>0.8</v>
      </c>
      <c r="F13" s="241">
        <v>16434</v>
      </c>
      <c r="G13" s="242">
        <v>0</v>
      </c>
      <c r="H13" s="241">
        <v>162278</v>
      </c>
      <c r="I13" s="242">
        <v>0.1</v>
      </c>
      <c r="J13" s="241">
        <v>113912</v>
      </c>
      <c r="K13" s="1683">
        <v>0.1</v>
      </c>
      <c r="L13" s="238">
        <v>8831801</v>
      </c>
      <c r="M13" s="242">
        <v>5.7</v>
      </c>
      <c r="N13" s="241">
        <v>19008</v>
      </c>
      <c r="O13" s="242">
        <v>0</v>
      </c>
      <c r="P13" s="1720">
        <v>0</v>
      </c>
      <c r="Q13" s="242">
        <v>0</v>
      </c>
      <c r="R13" s="1720">
        <v>0</v>
      </c>
      <c r="S13" s="242">
        <v>0</v>
      </c>
      <c r="T13" s="235">
        <v>79560</v>
      </c>
      <c r="U13" s="232">
        <v>0.1</v>
      </c>
      <c r="V13" s="235">
        <v>931181</v>
      </c>
      <c r="W13" s="1759">
        <v>0.6</v>
      </c>
      <c r="X13" s="233">
        <v>376765</v>
      </c>
      <c r="Y13" s="232">
        <v>0.2</v>
      </c>
      <c r="Z13" s="240">
        <v>14274279</v>
      </c>
      <c r="AA13" s="232">
        <v>9.1</v>
      </c>
      <c r="AB13" s="240">
        <v>9542680</v>
      </c>
      <c r="AC13" s="243">
        <v>1528183</v>
      </c>
      <c r="AD13" s="235">
        <v>3203416</v>
      </c>
      <c r="AE13" s="240">
        <v>48998</v>
      </c>
      <c r="AF13" s="232">
        <v>0</v>
      </c>
      <c r="AG13" s="235">
        <v>623095</v>
      </c>
      <c r="AH13" s="1759">
        <v>0.4</v>
      </c>
      <c r="AI13" s="238">
        <v>1576742</v>
      </c>
      <c r="AJ13" s="242">
        <v>1</v>
      </c>
      <c r="AK13" s="1720">
        <v>910884</v>
      </c>
      <c r="AL13" s="1684">
        <v>0.6</v>
      </c>
      <c r="AM13" s="272">
        <v>31291253</v>
      </c>
      <c r="AN13" s="1762">
        <v>20</v>
      </c>
      <c r="AO13" s="251">
        <v>3036</v>
      </c>
      <c r="AP13" s="1760">
        <v>0</v>
      </c>
      <c r="AQ13" s="273">
        <v>10082438</v>
      </c>
      <c r="AR13" s="274">
        <v>6.5</v>
      </c>
      <c r="AS13" s="275">
        <v>242430</v>
      </c>
      <c r="AT13" s="274">
        <v>0.2</v>
      </c>
      <c r="AU13" s="272">
        <v>216515</v>
      </c>
      <c r="AV13" s="274">
        <v>0.1</v>
      </c>
      <c r="AW13" s="241">
        <v>7517694</v>
      </c>
      <c r="AX13" s="1683">
        <v>4.8</v>
      </c>
      <c r="AY13" s="238">
        <v>8619066</v>
      </c>
      <c r="AZ13" s="242">
        <v>5.5</v>
      </c>
      <c r="BA13" s="241">
        <v>5543036</v>
      </c>
      <c r="BB13" s="1684">
        <v>3.6</v>
      </c>
      <c r="BC13" s="241">
        <v>11715006</v>
      </c>
      <c r="BD13" s="1684">
        <v>7.5</v>
      </c>
      <c r="BE13" s="252">
        <v>156163710</v>
      </c>
      <c r="BF13" s="1677">
        <v>100</v>
      </c>
      <c r="BG13" s="337"/>
    </row>
    <row r="14" spans="1:59" s="327" customFormat="1" ht="15.75" customHeight="1">
      <c r="A14" s="369" t="s">
        <v>160</v>
      </c>
      <c r="B14" s="103">
        <v>51799226</v>
      </c>
      <c r="C14" s="204">
        <v>31.9</v>
      </c>
      <c r="D14" s="113">
        <v>1395003</v>
      </c>
      <c r="E14" s="104">
        <v>0.9</v>
      </c>
      <c r="F14" s="105">
        <v>15627</v>
      </c>
      <c r="G14" s="104">
        <v>0</v>
      </c>
      <c r="H14" s="105">
        <v>153896</v>
      </c>
      <c r="I14" s="104">
        <v>0.1</v>
      </c>
      <c r="J14" s="105">
        <v>107848</v>
      </c>
      <c r="K14" s="1694">
        <v>0.1</v>
      </c>
      <c r="L14" s="103">
        <v>8637881</v>
      </c>
      <c r="M14" s="104">
        <v>5.3</v>
      </c>
      <c r="N14" s="105">
        <v>132000</v>
      </c>
      <c r="O14" s="104">
        <v>0.1</v>
      </c>
      <c r="P14" s="1723" t="s">
        <v>148</v>
      </c>
      <c r="Q14" s="104" t="s">
        <v>148</v>
      </c>
      <c r="R14" s="1723" t="s">
        <v>148</v>
      </c>
      <c r="S14" s="104" t="s">
        <v>148</v>
      </c>
      <c r="T14" s="101">
        <v>78842</v>
      </c>
      <c r="U14" s="99">
        <v>0.1</v>
      </c>
      <c r="V14" s="77">
        <v>816948</v>
      </c>
      <c r="W14" s="1763">
        <v>0.5</v>
      </c>
      <c r="X14" s="100">
        <v>329889</v>
      </c>
      <c r="Y14" s="99">
        <v>0.2</v>
      </c>
      <c r="Z14" s="102">
        <v>17252853</v>
      </c>
      <c r="AA14" s="99">
        <v>10.6</v>
      </c>
      <c r="AB14" s="102">
        <v>12535612</v>
      </c>
      <c r="AC14" s="109">
        <v>1377572</v>
      </c>
      <c r="AD14" s="101">
        <v>3339669</v>
      </c>
      <c r="AE14" s="102">
        <v>46074</v>
      </c>
      <c r="AF14" s="99">
        <v>0</v>
      </c>
      <c r="AG14" s="101">
        <v>377292</v>
      </c>
      <c r="AH14" s="1761">
        <v>0.2</v>
      </c>
      <c r="AI14" s="75">
        <v>2114711</v>
      </c>
      <c r="AJ14" s="74">
        <v>1.3</v>
      </c>
      <c r="AK14" s="1726">
        <v>571914</v>
      </c>
      <c r="AL14" s="1687">
        <v>0.4</v>
      </c>
      <c r="AM14" s="187">
        <v>34158493</v>
      </c>
      <c r="AN14" s="1703">
        <v>21.1</v>
      </c>
      <c r="AO14" s="193" t="s">
        <v>148</v>
      </c>
      <c r="AP14" s="1705" t="s">
        <v>148</v>
      </c>
      <c r="AQ14" s="269">
        <v>9447573</v>
      </c>
      <c r="AR14" s="270">
        <v>5.8</v>
      </c>
      <c r="AS14" s="276">
        <v>526694</v>
      </c>
      <c r="AT14" s="270">
        <v>0.3</v>
      </c>
      <c r="AU14" s="187">
        <v>816242</v>
      </c>
      <c r="AV14" s="270">
        <v>0.5</v>
      </c>
      <c r="AW14" s="76">
        <v>7049972</v>
      </c>
      <c r="AX14" s="1686">
        <v>4.3</v>
      </c>
      <c r="AY14" s="75">
        <v>9266310</v>
      </c>
      <c r="AZ14" s="74">
        <v>5.7</v>
      </c>
      <c r="BA14" s="76">
        <v>5620778</v>
      </c>
      <c r="BB14" s="1687">
        <v>3.5</v>
      </c>
      <c r="BC14" s="76">
        <v>11593246</v>
      </c>
      <c r="BD14" s="1687">
        <v>7.1</v>
      </c>
      <c r="BE14" s="122">
        <v>162309312</v>
      </c>
      <c r="BF14" s="1694">
        <v>100</v>
      </c>
      <c r="BG14" s="337"/>
    </row>
    <row r="15" spans="1:59" s="327" customFormat="1" ht="15.75" customHeight="1">
      <c r="A15" s="230" t="s">
        <v>162</v>
      </c>
      <c r="B15" s="140">
        <v>42089956</v>
      </c>
      <c r="C15" s="173">
        <v>30</v>
      </c>
      <c r="D15" s="153">
        <v>801505</v>
      </c>
      <c r="E15" s="136">
        <v>0.6</v>
      </c>
      <c r="F15" s="141">
        <v>14394</v>
      </c>
      <c r="G15" s="136">
        <v>0</v>
      </c>
      <c r="H15" s="141">
        <v>209412</v>
      </c>
      <c r="I15" s="136">
        <v>0.1</v>
      </c>
      <c r="J15" s="141">
        <v>166004</v>
      </c>
      <c r="K15" s="1677">
        <v>0.1</v>
      </c>
      <c r="L15" s="140">
        <v>7023296</v>
      </c>
      <c r="M15" s="136">
        <v>4.9000000000000004</v>
      </c>
      <c r="N15" s="141">
        <v>68285</v>
      </c>
      <c r="O15" s="136">
        <v>0.1</v>
      </c>
      <c r="P15" s="1713">
        <v>0</v>
      </c>
      <c r="Q15" s="136">
        <v>0</v>
      </c>
      <c r="R15" s="1713">
        <v>868</v>
      </c>
      <c r="S15" s="136">
        <v>0</v>
      </c>
      <c r="T15" s="129">
        <v>75256</v>
      </c>
      <c r="U15" s="128">
        <v>0.1</v>
      </c>
      <c r="V15" s="129">
        <v>934605</v>
      </c>
      <c r="W15" s="1764">
        <v>0.7</v>
      </c>
      <c r="X15" s="132">
        <v>330343</v>
      </c>
      <c r="Y15" s="128">
        <v>0.2</v>
      </c>
      <c r="Z15" s="144">
        <v>10493908</v>
      </c>
      <c r="AA15" s="128">
        <v>7.5</v>
      </c>
      <c r="AB15" s="129">
        <v>9762697</v>
      </c>
      <c r="AC15" s="1765">
        <v>719267</v>
      </c>
      <c r="AD15" s="141">
        <v>11944</v>
      </c>
      <c r="AE15" s="153">
        <v>33972</v>
      </c>
      <c r="AF15" s="136">
        <v>0</v>
      </c>
      <c r="AG15" s="141">
        <v>1875194</v>
      </c>
      <c r="AH15" s="1677">
        <v>1.3</v>
      </c>
      <c r="AI15" s="132">
        <v>1152335</v>
      </c>
      <c r="AJ15" s="128">
        <v>0.8</v>
      </c>
      <c r="AK15" s="1765">
        <v>1150912</v>
      </c>
      <c r="AL15" s="136">
        <v>0.8</v>
      </c>
      <c r="AM15" s="141">
        <v>32641382</v>
      </c>
      <c r="AN15" s="1678">
        <v>23.2</v>
      </c>
      <c r="AO15" s="155">
        <v>300</v>
      </c>
      <c r="AP15" s="1707">
        <v>0</v>
      </c>
      <c r="AQ15" s="268">
        <v>9489783</v>
      </c>
      <c r="AR15" s="156">
        <v>6.8</v>
      </c>
      <c r="AS15" s="154">
        <v>146531</v>
      </c>
      <c r="AT15" s="156">
        <v>0.1</v>
      </c>
      <c r="AU15" s="155">
        <v>299687</v>
      </c>
      <c r="AV15" s="156">
        <v>0.2</v>
      </c>
      <c r="AW15" s="155">
        <v>2089615</v>
      </c>
      <c r="AX15" s="1707">
        <v>1.5</v>
      </c>
      <c r="AY15" s="140">
        <v>6822185</v>
      </c>
      <c r="AZ15" s="136">
        <v>4.9000000000000004</v>
      </c>
      <c r="BA15" s="141">
        <v>3319443</v>
      </c>
      <c r="BB15" s="136">
        <v>2.4</v>
      </c>
      <c r="BC15" s="141">
        <v>19232100</v>
      </c>
      <c r="BD15" s="266">
        <v>13.7</v>
      </c>
      <c r="BE15" s="252">
        <v>140461271</v>
      </c>
      <c r="BF15" s="1677">
        <v>100</v>
      </c>
      <c r="BG15" s="337"/>
    </row>
    <row r="16" spans="1:59" s="327" customFormat="1" ht="15.75" customHeight="1">
      <c r="A16" s="369" t="s">
        <v>164</v>
      </c>
      <c r="B16" s="103">
        <v>93175820</v>
      </c>
      <c r="C16" s="104">
        <v>34.700000000000003</v>
      </c>
      <c r="D16" s="105">
        <v>1337103</v>
      </c>
      <c r="E16" s="104">
        <v>0.5</v>
      </c>
      <c r="F16" s="105">
        <v>23963</v>
      </c>
      <c r="G16" s="104">
        <v>0</v>
      </c>
      <c r="H16" s="105">
        <v>463269</v>
      </c>
      <c r="I16" s="104">
        <v>0.2</v>
      </c>
      <c r="J16" s="105">
        <v>344350</v>
      </c>
      <c r="K16" s="1694">
        <v>0.1</v>
      </c>
      <c r="L16" s="103">
        <v>13598226</v>
      </c>
      <c r="M16" s="104">
        <v>5.0999999999999996</v>
      </c>
      <c r="N16" s="105">
        <v>118435</v>
      </c>
      <c r="O16" s="104">
        <v>0</v>
      </c>
      <c r="P16" s="1723" t="s">
        <v>153</v>
      </c>
      <c r="Q16" s="104" t="s">
        <v>153</v>
      </c>
      <c r="R16" s="1723">
        <v>1935</v>
      </c>
      <c r="S16" s="104">
        <v>0</v>
      </c>
      <c r="T16" s="101">
        <v>133289</v>
      </c>
      <c r="U16" s="99">
        <v>0.1</v>
      </c>
      <c r="V16" s="101">
        <v>1441482</v>
      </c>
      <c r="W16" s="1761">
        <v>0.5</v>
      </c>
      <c r="X16" s="100">
        <v>592785</v>
      </c>
      <c r="Y16" s="99">
        <v>0.2</v>
      </c>
      <c r="Z16" s="102">
        <v>5600382</v>
      </c>
      <c r="AA16" s="99">
        <v>2.1</v>
      </c>
      <c r="AB16" s="102">
        <v>2043076</v>
      </c>
      <c r="AC16" s="102">
        <v>3546909</v>
      </c>
      <c r="AD16" s="101">
        <v>10397</v>
      </c>
      <c r="AE16" s="101">
        <v>72633</v>
      </c>
      <c r="AF16" s="99">
        <v>0</v>
      </c>
      <c r="AG16" s="101">
        <v>1476432</v>
      </c>
      <c r="AH16" s="1761">
        <v>0.5</v>
      </c>
      <c r="AI16" s="103">
        <v>1393688</v>
      </c>
      <c r="AJ16" s="104">
        <v>0.5</v>
      </c>
      <c r="AK16" s="105">
        <v>1535641</v>
      </c>
      <c r="AL16" s="104">
        <v>0.6</v>
      </c>
      <c r="AM16" s="105">
        <v>63157869</v>
      </c>
      <c r="AN16" s="1695">
        <v>23.5</v>
      </c>
      <c r="AO16" s="114">
        <v>139244</v>
      </c>
      <c r="AP16" s="1705">
        <v>0.1</v>
      </c>
      <c r="AQ16" s="115">
        <v>15601051</v>
      </c>
      <c r="AR16" s="116">
        <v>5.8</v>
      </c>
      <c r="AS16" s="277">
        <v>1074819</v>
      </c>
      <c r="AT16" s="116">
        <v>0.4</v>
      </c>
      <c r="AU16" s="114">
        <v>328652</v>
      </c>
      <c r="AV16" s="116">
        <v>0.1</v>
      </c>
      <c r="AW16" s="114">
        <v>9186582</v>
      </c>
      <c r="AX16" s="1705">
        <v>3.4</v>
      </c>
      <c r="AY16" s="103">
        <v>6696894</v>
      </c>
      <c r="AZ16" s="104">
        <v>2.5</v>
      </c>
      <c r="BA16" s="105">
        <v>23078753</v>
      </c>
      <c r="BB16" s="104">
        <v>8.6</v>
      </c>
      <c r="BC16" s="105">
        <v>28135500</v>
      </c>
      <c r="BD16" s="267">
        <v>10.5</v>
      </c>
      <c r="BE16" s="122">
        <v>268708797</v>
      </c>
      <c r="BF16" s="1694">
        <v>100</v>
      </c>
      <c r="BG16" s="337"/>
    </row>
    <row r="17" spans="1:59" s="327" customFormat="1" ht="15.75" customHeight="1">
      <c r="A17" s="230" t="s">
        <v>166</v>
      </c>
      <c r="B17" s="576">
        <v>54310840</v>
      </c>
      <c r="C17" s="646">
        <v>33.6</v>
      </c>
      <c r="D17" s="577">
        <v>1305702</v>
      </c>
      <c r="E17" s="646">
        <v>0.8</v>
      </c>
      <c r="F17" s="577">
        <v>19287</v>
      </c>
      <c r="G17" s="646">
        <v>0</v>
      </c>
      <c r="H17" s="577">
        <v>248910</v>
      </c>
      <c r="I17" s="646">
        <v>0.2</v>
      </c>
      <c r="J17" s="577">
        <v>188848</v>
      </c>
      <c r="K17" s="1676">
        <v>0.1</v>
      </c>
      <c r="L17" s="576">
        <v>8737559</v>
      </c>
      <c r="M17" s="646">
        <v>5.4</v>
      </c>
      <c r="N17" s="577">
        <v>18850</v>
      </c>
      <c r="O17" s="646">
        <v>0</v>
      </c>
      <c r="P17" s="1538">
        <v>0</v>
      </c>
      <c r="Q17" s="646">
        <v>0</v>
      </c>
      <c r="R17" s="1538">
        <v>2236</v>
      </c>
      <c r="S17" s="646">
        <v>0</v>
      </c>
      <c r="T17" s="647">
        <v>144143</v>
      </c>
      <c r="U17" s="648">
        <v>0.1</v>
      </c>
      <c r="V17" s="647">
        <v>862109</v>
      </c>
      <c r="W17" s="1443">
        <v>0.5</v>
      </c>
      <c r="X17" s="586">
        <v>410026</v>
      </c>
      <c r="Y17" s="648">
        <v>0.3</v>
      </c>
      <c r="Z17" s="649">
        <v>13992643</v>
      </c>
      <c r="AA17" s="648">
        <v>8.6</v>
      </c>
      <c r="AB17" s="649">
        <v>12939127</v>
      </c>
      <c r="AC17" s="649">
        <v>1046733</v>
      </c>
      <c r="AD17" s="647">
        <v>6783</v>
      </c>
      <c r="AE17" s="647">
        <v>76278</v>
      </c>
      <c r="AF17" s="648">
        <v>0</v>
      </c>
      <c r="AG17" s="647">
        <v>331609</v>
      </c>
      <c r="AH17" s="1443">
        <v>0.2</v>
      </c>
      <c r="AI17" s="576">
        <v>2054032</v>
      </c>
      <c r="AJ17" s="646">
        <v>1.3</v>
      </c>
      <c r="AK17" s="577">
        <v>675376</v>
      </c>
      <c r="AL17" s="646">
        <v>0.4</v>
      </c>
      <c r="AM17" s="577">
        <v>33281066</v>
      </c>
      <c r="AN17" s="1766">
        <v>20.6</v>
      </c>
      <c r="AO17" s="650">
        <v>0</v>
      </c>
      <c r="AP17" s="1767">
        <v>0</v>
      </c>
      <c r="AQ17" s="651">
        <v>10761960</v>
      </c>
      <c r="AR17" s="652">
        <v>6.7</v>
      </c>
      <c r="AS17" s="653">
        <v>502986</v>
      </c>
      <c r="AT17" s="652">
        <v>0.3</v>
      </c>
      <c r="AU17" s="650">
        <v>1136352</v>
      </c>
      <c r="AV17" s="652">
        <v>0.7</v>
      </c>
      <c r="AW17" s="650">
        <v>3917549</v>
      </c>
      <c r="AX17" s="1767">
        <v>2.4</v>
      </c>
      <c r="AY17" s="576">
        <v>2406734</v>
      </c>
      <c r="AZ17" s="646">
        <v>1.5</v>
      </c>
      <c r="BA17" s="577">
        <v>14122508</v>
      </c>
      <c r="BB17" s="646">
        <v>8.6999999999999993</v>
      </c>
      <c r="BC17" s="577">
        <v>12284400</v>
      </c>
      <c r="BD17" s="654">
        <v>7.6</v>
      </c>
      <c r="BE17" s="900">
        <v>161792003</v>
      </c>
      <c r="BF17" s="1676">
        <v>100</v>
      </c>
      <c r="BG17" s="337"/>
    </row>
    <row r="18" spans="1:59" s="327" customFormat="1" ht="15.75" customHeight="1">
      <c r="A18" s="369" t="s">
        <v>167</v>
      </c>
      <c r="B18" s="75">
        <v>64271977</v>
      </c>
      <c r="C18" s="74">
        <v>35.6</v>
      </c>
      <c r="D18" s="76">
        <v>1302030</v>
      </c>
      <c r="E18" s="74">
        <v>0.7</v>
      </c>
      <c r="F18" s="76">
        <v>21733</v>
      </c>
      <c r="G18" s="74">
        <v>0</v>
      </c>
      <c r="H18" s="76">
        <v>281257</v>
      </c>
      <c r="I18" s="74">
        <v>0.2</v>
      </c>
      <c r="J18" s="76">
        <v>213817</v>
      </c>
      <c r="K18" s="1686">
        <v>0.1</v>
      </c>
      <c r="L18" s="75">
        <v>9660837</v>
      </c>
      <c r="M18" s="74">
        <v>5.4</v>
      </c>
      <c r="N18" s="76">
        <v>112460</v>
      </c>
      <c r="O18" s="74">
        <v>0.1</v>
      </c>
      <c r="P18" s="1726" t="s">
        <v>153</v>
      </c>
      <c r="Q18" s="74" t="s">
        <v>153</v>
      </c>
      <c r="R18" s="1726">
        <v>2238</v>
      </c>
      <c r="S18" s="74">
        <v>0</v>
      </c>
      <c r="T18" s="77">
        <v>144242</v>
      </c>
      <c r="U18" s="72">
        <v>0.1</v>
      </c>
      <c r="V18" s="77">
        <v>968066</v>
      </c>
      <c r="W18" s="1763">
        <v>0.5</v>
      </c>
      <c r="X18" s="73">
        <v>461482</v>
      </c>
      <c r="Y18" s="72">
        <v>0.3</v>
      </c>
      <c r="Z18" s="78">
        <v>14427557</v>
      </c>
      <c r="AA18" s="72">
        <v>8</v>
      </c>
      <c r="AB18" s="78">
        <v>12297756</v>
      </c>
      <c r="AC18" s="78">
        <v>2129801</v>
      </c>
      <c r="AD18" s="77" t="s">
        <v>153</v>
      </c>
      <c r="AE18" s="77">
        <v>77221</v>
      </c>
      <c r="AF18" s="72">
        <v>0</v>
      </c>
      <c r="AG18" s="77">
        <v>360261</v>
      </c>
      <c r="AH18" s="1763">
        <v>0.2</v>
      </c>
      <c r="AI18" s="75">
        <v>1631824</v>
      </c>
      <c r="AJ18" s="74">
        <v>0.9</v>
      </c>
      <c r="AK18" s="76">
        <v>883214</v>
      </c>
      <c r="AL18" s="74">
        <v>0.5</v>
      </c>
      <c r="AM18" s="76">
        <v>35159197</v>
      </c>
      <c r="AN18" s="1687">
        <v>19.5</v>
      </c>
      <c r="AO18" s="187">
        <v>27427</v>
      </c>
      <c r="AP18" s="1702">
        <v>0</v>
      </c>
      <c r="AQ18" s="269">
        <v>11040337</v>
      </c>
      <c r="AR18" s="270">
        <v>6.1</v>
      </c>
      <c r="AS18" s="276">
        <v>173661</v>
      </c>
      <c r="AT18" s="270">
        <v>0.1</v>
      </c>
      <c r="AU18" s="187">
        <v>386992</v>
      </c>
      <c r="AV18" s="270">
        <v>0.2</v>
      </c>
      <c r="AW18" s="187">
        <v>5321443</v>
      </c>
      <c r="AX18" s="1702">
        <v>2.9</v>
      </c>
      <c r="AY18" s="75">
        <v>3628334</v>
      </c>
      <c r="AZ18" s="74">
        <v>2</v>
      </c>
      <c r="BA18" s="76">
        <v>19410580</v>
      </c>
      <c r="BB18" s="74">
        <v>10.8</v>
      </c>
      <c r="BC18" s="76">
        <v>10375100</v>
      </c>
      <c r="BD18" s="278">
        <v>5.8</v>
      </c>
      <c r="BE18" s="188">
        <v>180343287</v>
      </c>
      <c r="BF18" s="1686">
        <v>100</v>
      </c>
      <c r="BG18" s="337"/>
    </row>
    <row r="19" spans="1:59" s="327" customFormat="1" ht="15.75" customHeight="1">
      <c r="A19" s="230" t="s">
        <v>173</v>
      </c>
      <c r="B19" s="238">
        <v>58902490</v>
      </c>
      <c r="C19" s="557">
        <v>45.2</v>
      </c>
      <c r="D19" s="241">
        <v>757225</v>
      </c>
      <c r="E19" s="557">
        <v>0.6</v>
      </c>
      <c r="F19" s="241">
        <v>20888</v>
      </c>
      <c r="G19" s="557">
        <v>0</v>
      </c>
      <c r="H19" s="241">
        <v>301456</v>
      </c>
      <c r="I19" s="557">
        <v>0.2</v>
      </c>
      <c r="J19" s="241">
        <v>234971</v>
      </c>
      <c r="K19" s="557">
        <v>0.2</v>
      </c>
      <c r="L19" s="238">
        <v>8361755</v>
      </c>
      <c r="M19" s="557">
        <v>6.4</v>
      </c>
      <c r="N19" s="241">
        <v>58324</v>
      </c>
      <c r="O19" s="557">
        <v>0</v>
      </c>
      <c r="P19" s="1720">
        <v>0</v>
      </c>
      <c r="Q19" s="557">
        <v>0</v>
      </c>
      <c r="R19" s="1720">
        <v>1927</v>
      </c>
      <c r="S19" s="557">
        <v>0</v>
      </c>
      <c r="T19" s="235">
        <v>127310</v>
      </c>
      <c r="U19" s="557">
        <v>0.1</v>
      </c>
      <c r="V19" s="235">
        <v>691096</v>
      </c>
      <c r="W19" s="557">
        <v>0.5</v>
      </c>
      <c r="X19" s="233">
        <v>458519</v>
      </c>
      <c r="Y19" s="557">
        <v>0.4</v>
      </c>
      <c r="Z19" s="240">
        <v>3054699</v>
      </c>
      <c r="AA19" s="557">
        <v>2.2999999999999998</v>
      </c>
      <c r="AB19" s="240">
        <v>2735950</v>
      </c>
      <c r="AC19" s="240">
        <v>318278</v>
      </c>
      <c r="AD19" s="235">
        <v>0</v>
      </c>
      <c r="AE19" s="235">
        <v>40783</v>
      </c>
      <c r="AF19" s="557">
        <v>0</v>
      </c>
      <c r="AG19" s="235">
        <v>598872</v>
      </c>
      <c r="AH19" s="557">
        <v>0.5</v>
      </c>
      <c r="AI19" s="238">
        <v>1508953</v>
      </c>
      <c r="AJ19" s="557">
        <v>1.2</v>
      </c>
      <c r="AK19" s="241">
        <v>647448</v>
      </c>
      <c r="AL19" s="557">
        <v>0.5</v>
      </c>
      <c r="AM19" s="241">
        <v>29344598</v>
      </c>
      <c r="AN19" s="557">
        <v>22.5</v>
      </c>
      <c r="AO19" s="272">
        <v>0</v>
      </c>
      <c r="AP19" s="557">
        <v>0</v>
      </c>
      <c r="AQ19" s="273">
        <v>8134461</v>
      </c>
      <c r="AR19" s="557">
        <v>6.2</v>
      </c>
      <c r="AS19" s="275">
        <v>303953</v>
      </c>
      <c r="AT19" s="557">
        <v>0.2</v>
      </c>
      <c r="AU19" s="272">
        <v>574144</v>
      </c>
      <c r="AV19" s="557">
        <v>0.4</v>
      </c>
      <c r="AW19" s="272">
        <v>310422</v>
      </c>
      <c r="AX19" s="557">
        <v>0.2</v>
      </c>
      <c r="AY19" s="238">
        <v>7738256</v>
      </c>
      <c r="AZ19" s="557">
        <v>5.9</v>
      </c>
      <c r="BA19" s="241">
        <v>3254186</v>
      </c>
      <c r="BB19" s="557">
        <v>2.5</v>
      </c>
      <c r="BC19" s="241">
        <v>4951690</v>
      </c>
      <c r="BD19" s="1403">
        <v>3.8</v>
      </c>
      <c r="BE19" s="252">
        <v>130378426</v>
      </c>
      <c r="BF19" s="1682">
        <v>100</v>
      </c>
      <c r="BG19" s="337"/>
    </row>
    <row r="20" spans="1:59" s="327" customFormat="1" ht="15.75" customHeight="1">
      <c r="A20" s="369" t="s">
        <v>267</v>
      </c>
      <c r="B20" s="75">
        <v>100945458</v>
      </c>
      <c r="C20" s="74">
        <v>41.3</v>
      </c>
      <c r="D20" s="76">
        <v>987783</v>
      </c>
      <c r="E20" s="74">
        <v>0.4</v>
      </c>
      <c r="F20" s="76">
        <v>38297</v>
      </c>
      <c r="G20" s="74">
        <v>0</v>
      </c>
      <c r="H20" s="76">
        <v>555747</v>
      </c>
      <c r="I20" s="74">
        <v>0.2</v>
      </c>
      <c r="J20" s="76">
        <v>434313</v>
      </c>
      <c r="K20" s="1686">
        <v>0.2</v>
      </c>
      <c r="L20" s="75">
        <v>13389135</v>
      </c>
      <c r="M20" s="74">
        <v>5.5</v>
      </c>
      <c r="N20" s="76">
        <v>8402</v>
      </c>
      <c r="O20" s="74">
        <v>0</v>
      </c>
      <c r="P20" s="1726" t="s">
        <v>153</v>
      </c>
      <c r="Q20" s="74" t="s">
        <v>153</v>
      </c>
      <c r="R20" s="1726">
        <v>2482</v>
      </c>
      <c r="S20" s="74">
        <v>0</v>
      </c>
      <c r="T20" s="77">
        <v>163956</v>
      </c>
      <c r="U20" s="72">
        <v>0.1</v>
      </c>
      <c r="V20" s="77">
        <v>852416</v>
      </c>
      <c r="W20" s="1763">
        <v>0.4</v>
      </c>
      <c r="X20" s="73">
        <v>816146</v>
      </c>
      <c r="Y20" s="72">
        <v>0.3</v>
      </c>
      <c r="Z20" s="78">
        <v>6479513</v>
      </c>
      <c r="AA20" s="72">
        <v>2.7</v>
      </c>
      <c r="AB20" s="78">
        <v>5661177</v>
      </c>
      <c r="AC20" s="78">
        <v>818159</v>
      </c>
      <c r="AD20" s="77">
        <v>177</v>
      </c>
      <c r="AE20" s="77">
        <v>58472</v>
      </c>
      <c r="AF20" s="72">
        <v>0</v>
      </c>
      <c r="AG20" s="77">
        <v>1087718</v>
      </c>
      <c r="AH20" s="1763">
        <v>0.4</v>
      </c>
      <c r="AI20" s="75">
        <v>3586032</v>
      </c>
      <c r="AJ20" s="74">
        <v>1.5</v>
      </c>
      <c r="AK20" s="76">
        <v>1345265</v>
      </c>
      <c r="AL20" s="74">
        <v>0.6</v>
      </c>
      <c r="AM20" s="76">
        <v>60732601</v>
      </c>
      <c r="AN20" s="1687">
        <v>24.9</v>
      </c>
      <c r="AO20" s="187" t="s">
        <v>153</v>
      </c>
      <c r="AP20" s="1702" t="s">
        <v>153</v>
      </c>
      <c r="AQ20" s="269">
        <v>14022226</v>
      </c>
      <c r="AR20" s="270">
        <v>5.7</v>
      </c>
      <c r="AS20" s="276">
        <v>2817770</v>
      </c>
      <c r="AT20" s="270">
        <v>1.2</v>
      </c>
      <c r="AU20" s="187">
        <v>60201</v>
      </c>
      <c r="AV20" s="270">
        <v>0</v>
      </c>
      <c r="AW20" s="187">
        <v>4219312</v>
      </c>
      <c r="AX20" s="1702">
        <v>1.7</v>
      </c>
      <c r="AY20" s="75">
        <v>12276115</v>
      </c>
      <c r="AZ20" s="74">
        <v>5</v>
      </c>
      <c r="BA20" s="76">
        <v>5123794</v>
      </c>
      <c r="BB20" s="74">
        <v>2.1</v>
      </c>
      <c r="BC20" s="76">
        <v>14209099</v>
      </c>
      <c r="BD20" s="278">
        <v>5.8</v>
      </c>
      <c r="BE20" s="188">
        <v>244212253</v>
      </c>
      <c r="BF20" s="1686">
        <v>100</v>
      </c>
      <c r="BG20" s="337"/>
    </row>
    <row r="21" spans="1:59" s="327" customFormat="1" ht="15.75" customHeight="1">
      <c r="A21" s="230" t="s">
        <v>178</v>
      </c>
      <c r="B21" s="140">
        <v>51041764</v>
      </c>
      <c r="C21" s="136">
        <v>38.200000000000003</v>
      </c>
      <c r="D21" s="141">
        <v>752948</v>
      </c>
      <c r="E21" s="136">
        <v>0.6</v>
      </c>
      <c r="F21" s="141">
        <v>20713</v>
      </c>
      <c r="G21" s="136">
        <v>0</v>
      </c>
      <c r="H21" s="141">
        <v>300241</v>
      </c>
      <c r="I21" s="136">
        <v>0.2</v>
      </c>
      <c r="J21" s="141">
        <v>234511</v>
      </c>
      <c r="K21" s="1677">
        <v>0.2</v>
      </c>
      <c r="L21" s="140">
        <v>7746267</v>
      </c>
      <c r="M21" s="136">
        <v>5.8</v>
      </c>
      <c r="N21" s="141" t="s">
        <v>148</v>
      </c>
      <c r="O21" s="136" t="s">
        <v>148</v>
      </c>
      <c r="P21" s="1713" t="s">
        <v>148</v>
      </c>
      <c r="Q21" s="136" t="s">
        <v>148</v>
      </c>
      <c r="R21" s="1713">
        <v>1929</v>
      </c>
      <c r="S21" s="136">
        <v>0</v>
      </c>
      <c r="T21" s="129">
        <v>127385</v>
      </c>
      <c r="U21" s="128">
        <v>0.1</v>
      </c>
      <c r="V21" s="129">
        <v>522294</v>
      </c>
      <c r="W21" s="1764">
        <v>0.4</v>
      </c>
      <c r="X21" s="132">
        <v>505384</v>
      </c>
      <c r="Y21" s="128">
        <v>0.4</v>
      </c>
      <c r="Z21" s="144">
        <v>6388918</v>
      </c>
      <c r="AA21" s="128">
        <v>4.8</v>
      </c>
      <c r="AB21" s="144">
        <v>5998123</v>
      </c>
      <c r="AC21" s="144">
        <v>390663</v>
      </c>
      <c r="AD21" s="129">
        <v>132</v>
      </c>
      <c r="AE21" s="129">
        <v>37898</v>
      </c>
      <c r="AF21" s="128">
        <v>0</v>
      </c>
      <c r="AG21" s="129">
        <v>496356</v>
      </c>
      <c r="AH21" s="1764">
        <v>0.4</v>
      </c>
      <c r="AI21" s="140">
        <v>1298337</v>
      </c>
      <c r="AJ21" s="136">
        <v>1</v>
      </c>
      <c r="AK21" s="141">
        <v>256355</v>
      </c>
      <c r="AL21" s="136">
        <v>0.2</v>
      </c>
      <c r="AM21" s="141">
        <v>30648625</v>
      </c>
      <c r="AN21" s="1678">
        <v>22.9</v>
      </c>
      <c r="AO21" s="155" t="s">
        <v>148</v>
      </c>
      <c r="AP21" s="1707" t="s">
        <v>148</v>
      </c>
      <c r="AQ21" s="268">
        <v>8341547</v>
      </c>
      <c r="AR21" s="156">
        <v>6.2</v>
      </c>
      <c r="AS21" s="154">
        <v>95027</v>
      </c>
      <c r="AT21" s="156">
        <v>0.1</v>
      </c>
      <c r="AU21" s="155">
        <v>61940</v>
      </c>
      <c r="AV21" s="156">
        <v>0</v>
      </c>
      <c r="AW21" s="155">
        <v>4432861</v>
      </c>
      <c r="AX21" s="1707">
        <v>3.3</v>
      </c>
      <c r="AY21" s="140">
        <v>11440110</v>
      </c>
      <c r="AZ21" s="136">
        <v>8.6</v>
      </c>
      <c r="BA21" s="141">
        <v>3056469</v>
      </c>
      <c r="BB21" s="136">
        <v>2.2999999999999998</v>
      </c>
      <c r="BC21" s="141">
        <v>5747700</v>
      </c>
      <c r="BD21" s="266">
        <v>4.3</v>
      </c>
      <c r="BE21" s="175">
        <v>133555579</v>
      </c>
      <c r="BF21" s="1677">
        <v>100</v>
      </c>
      <c r="BG21" s="341"/>
    </row>
    <row r="22" spans="1:59" s="327" customFormat="1" ht="15.75" customHeight="1">
      <c r="A22" s="369" t="s">
        <v>179</v>
      </c>
      <c r="B22" s="103">
        <v>105489851</v>
      </c>
      <c r="C22" s="104">
        <v>43</v>
      </c>
      <c r="D22" s="105">
        <v>1086201</v>
      </c>
      <c r="E22" s="104">
        <v>0.4</v>
      </c>
      <c r="F22" s="105">
        <v>69939</v>
      </c>
      <c r="G22" s="104">
        <v>0</v>
      </c>
      <c r="H22" s="105">
        <v>706895</v>
      </c>
      <c r="I22" s="104">
        <v>0.3</v>
      </c>
      <c r="J22" s="105">
        <v>565307</v>
      </c>
      <c r="K22" s="1694">
        <v>0.2</v>
      </c>
      <c r="L22" s="103">
        <v>15076834</v>
      </c>
      <c r="M22" s="104">
        <v>6.1</v>
      </c>
      <c r="N22" s="105">
        <v>3512</v>
      </c>
      <c r="O22" s="104">
        <v>0</v>
      </c>
      <c r="P22" s="1723">
        <v>0</v>
      </c>
      <c r="Q22" s="104">
        <v>0</v>
      </c>
      <c r="R22" s="1723">
        <v>3461</v>
      </c>
      <c r="S22" s="104">
        <v>0</v>
      </c>
      <c r="T22" s="101">
        <v>156322</v>
      </c>
      <c r="U22" s="99">
        <v>0.1</v>
      </c>
      <c r="V22" s="101">
        <v>1088396</v>
      </c>
      <c r="W22" s="1761">
        <v>0.4</v>
      </c>
      <c r="X22" s="100">
        <v>799934</v>
      </c>
      <c r="Y22" s="99">
        <v>0.3</v>
      </c>
      <c r="Z22" s="102">
        <v>8304630</v>
      </c>
      <c r="AA22" s="99">
        <v>3.4</v>
      </c>
      <c r="AB22" s="102">
        <v>7841155</v>
      </c>
      <c r="AC22" s="102">
        <v>454523</v>
      </c>
      <c r="AD22" s="101">
        <v>8952</v>
      </c>
      <c r="AE22" s="101">
        <v>58620</v>
      </c>
      <c r="AF22" s="99">
        <v>0</v>
      </c>
      <c r="AG22" s="101">
        <v>1430920</v>
      </c>
      <c r="AH22" s="1761">
        <v>0.6</v>
      </c>
      <c r="AI22" s="103">
        <v>2986658</v>
      </c>
      <c r="AJ22" s="104">
        <v>1.2</v>
      </c>
      <c r="AK22" s="105">
        <v>1534721</v>
      </c>
      <c r="AL22" s="104">
        <v>0.6</v>
      </c>
      <c r="AM22" s="105">
        <v>55576216</v>
      </c>
      <c r="AN22" s="1695">
        <v>22.7</v>
      </c>
      <c r="AO22" s="114">
        <v>202853</v>
      </c>
      <c r="AP22" s="1705">
        <v>0.1</v>
      </c>
      <c r="AQ22" s="115">
        <v>23487589</v>
      </c>
      <c r="AR22" s="116">
        <v>9.6</v>
      </c>
      <c r="AS22" s="277">
        <v>4809396</v>
      </c>
      <c r="AT22" s="116">
        <v>2</v>
      </c>
      <c r="AU22" s="114">
        <v>1837115</v>
      </c>
      <c r="AV22" s="116">
        <v>0.8</v>
      </c>
      <c r="AW22" s="114">
        <v>354127</v>
      </c>
      <c r="AX22" s="1705">
        <v>0.2</v>
      </c>
      <c r="AY22" s="103">
        <v>1063396</v>
      </c>
      <c r="AZ22" s="104">
        <v>0.4</v>
      </c>
      <c r="BA22" s="105">
        <v>9083227</v>
      </c>
      <c r="BB22" s="104">
        <v>3.7</v>
      </c>
      <c r="BC22" s="105">
        <v>9661000</v>
      </c>
      <c r="BD22" s="267">
        <v>3.9</v>
      </c>
      <c r="BE22" s="122">
        <v>245437120</v>
      </c>
      <c r="BF22" s="1694">
        <v>100</v>
      </c>
      <c r="BG22" s="337"/>
    </row>
    <row r="23" spans="1:59" s="327" customFormat="1" ht="15.75" customHeight="1">
      <c r="A23" s="230" t="s">
        <v>182</v>
      </c>
      <c r="B23" s="140">
        <v>71074213</v>
      </c>
      <c r="C23" s="136">
        <v>43.2</v>
      </c>
      <c r="D23" s="141">
        <v>866884</v>
      </c>
      <c r="E23" s="136">
        <v>0.5</v>
      </c>
      <c r="F23" s="141">
        <v>44915</v>
      </c>
      <c r="G23" s="136">
        <v>0</v>
      </c>
      <c r="H23" s="141">
        <v>454476</v>
      </c>
      <c r="I23" s="136">
        <v>0.3</v>
      </c>
      <c r="J23" s="141">
        <v>364033</v>
      </c>
      <c r="K23" s="1677">
        <v>0.2</v>
      </c>
      <c r="L23" s="140">
        <v>10230215</v>
      </c>
      <c r="M23" s="136">
        <v>6.2</v>
      </c>
      <c r="N23" s="162">
        <v>24050</v>
      </c>
      <c r="O23" s="242">
        <v>0</v>
      </c>
      <c r="P23" s="162">
        <v>0</v>
      </c>
      <c r="Q23" s="242">
        <v>0</v>
      </c>
      <c r="R23" s="162">
        <v>2891</v>
      </c>
      <c r="S23" s="242">
        <v>0</v>
      </c>
      <c r="T23" s="129">
        <v>130573</v>
      </c>
      <c r="U23" s="128">
        <v>0.1</v>
      </c>
      <c r="V23" s="129">
        <v>785208</v>
      </c>
      <c r="W23" s="1764">
        <v>0.5</v>
      </c>
      <c r="X23" s="132">
        <v>622130</v>
      </c>
      <c r="Y23" s="128">
        <v>0.4</v>
      </c>
      <c r="Z23" s="144">
        <v>5743033</v>
      </c>
      <c r="AA23" s="128">
        <v>3.5</v>
      </c>
      <c r="AB23" s="144">
        <v>5393745</v>
      </c>
      <c r="AC23" s="144">
        <v>343077</v>
      </c>
      <c r="AD23" s="129">
        <v>6211</v>
      </c>
      <c r="AE23" s="129">
        <v>45851</v>
      </c>
      <c r="AF23" s="128">
        <v>0</v>
      </c>
      <c r="AG23" s="129">
        <v>1181001</v>
      </c>
      <c r="AH23" s="1764">
        <v>0.7</v>
      </c>
      <c r="AI23" s="140">
        <v>1524596</v>
      </c>
      <c r="AJ23" s="136">
        <v>0.9</v>
      </c>
      <c r="AK23" s="141">
        <v>1026600</v>
      </c>
      <c r="AL23" s="136">
        <v>0.6</v>
      </c>
      <c r="AM23" s="141">
        <v>38894874</v>
      </c>
      <c r="AN23" s="1678">
        <v>23.6</v>
      </c>
      <c r="AO23" s="162">
        <v>152827</v>
      </c>
      <c r="AP23" s="1768">
        <v>0.1</v>
      </c>
      <c r="AQ23" s="268">
        <v>14108517</v>
      </c>
      <c r="AR23" s="156">
        <v>8.6</v>
      </c>
      <c r="AS23" s="154">
        <v>591013</v>
      </c>
      <c r="AT23" s="156">
        <v>0.4</v>
      </c>
      <c r="AU23" s="155">
        <v>208947</v>
      </c>
      <c r="AV23" s="156">
        <v>0.1</v>
      </c>
      <c r="AW23" s="155">
        <v>403956</v>
      </c>
      <c r="AX23" s="1707">
        <v>0.2</v>
      </c>
      <c r="AY23" s="140">
        <v>5707792</v>
      </c>
      <c r="AZ23" s="136">
        <v>3.5</v>
      </c>
      <c r="BA23" s="141">
        <v>2957493</v>
      </c>
      <c r="BB23" s="136">
        <v>1.8</v>
      </c>
      <c r="BC23" s="141">
        <v>7325141</v>
      </c>
      <c r="BD23" s="266">
        <v>4.5</v>
      </c>
      <c r="BE23" s="175">
        <v>164471229</v>
      </c>
      <c r="BF23" s="1677">
        <v>100</v>
      </c>
      <c r="BG23" s="337"/>
    </row>
    <row r="24" spans="1:59" s="327" customFormat="1" ht="15.75" customHeight="1">
      <c r="A24" s="369" t="s">
        <v>184</v>
      </c>
      <c r="B24" s="103">
        <v>92744193</v>
      </c>
      <c r="C24" s="104">
        <v>39.1</v>
      </c>
      <c r="D24" s="105">
        <v>1059997</v>
      </c>
      <c r="E24" s="104">
        <v>0.4</v>
      </c>
      <c r="F24" s="105">
        <v>136467</v>
      </c>
      <c r="G24" s="104">
        <v>0.1</v>
      </c>
      <c r="H24" s="105">
        <v>724997</v>
      </c>
      <c r="I24" s="104">
        <v>0.3</v>
      </c>
      <c r="J24" s="105">
        <v>555017</v>
      </c>
      <c r="K24" s="1694">
        <v>0.2</v>
      </c>
      <c r="L24" s="103">
        <v>13970803</v>
      </c>
      <c r="M24" s="104">
        <v>5.9</v>
      </c>
      <c r="N24" s="105">
        <v>91485</v>
      </c>
      <c r="O24" s="104">
        <v>0</v>
      </c>
      <c r="P24" s="1769" t="s">
        <v>153</v>
      </c>
      <c r="Q24" s="104" t="s">
        <v>153</v>
      </c>
      <c r="R24" s="1723">
        <v>48</v>
      </c>
      <c r="S24" s="104">
        <v>0</v>
      </c>
      <c r="T24" s="101">
        <v>269025</v>
      </c>
      <c r="U24" s="99">
        <v>0.1</v>
      </c>
      <c r="V24" s="101">
        <v>1892305</v>
      </c>
      <c r="W24" s="1761">
        <v>0.8</v>
      </c>
      <c r="X24" s="100">
        <v>592971</v>
      </c>
      <c r="Y24" s="99">
        <v>0.3</v>
      </c>
      <c r="Z24" s="102">
        <v>8939277</v>
      </c>
      <c r="AA24" s="99">
        <v>3.8</v>
      </c>
      <c r="AB24" s="102">
        <v>8576917</v>
      </c>
      <c r="AC24" s="102">
        <v>362003</v>
      </c>
      <c r="AD24" s="101">
        <v>357</v>
      </c>
      <c r="AE24" s="101">
        <v>67574</v>
      </c>
      <c r="AF24" s="99">
        <v>0</v>
      </c>
      <c r="AG24" s="101">
        <v>715839</v>
      </c>
      <c r="AH24" s="1761">
        <v>0.3</v>
      </c>
      <c r="AI24" s="103">
        <v>1719249</v>
      </c>
      <c r="AJ24" s="104">
        <v>0.7</v>
      </c>
      <c r="AK24" s="105">
        <v>2326589</v>
      </c>
      <c r="AL24" s="104">
        <v>1</v>
      </c>
      <c r="AM24" s="105">
        <v>59115183</v>
      </c>
      <c r="AN24" s="1695">
        <v>24.9</v>
      </c>
      <c r="AO24" s="114" t="s">
        <v>153</v>
      </c>
      <c r="AP24" s="1705" t="s">
        <v>153</v>
      </c>
      <c r="AQ24" s="115">
        <v>30117132</v>
      </c>
      <c r="AR24" s="116">
        <v>12.7</v>
      </c>
      <c r="AS24" s="277">
        <v>232479</v>
      </c>
      <c r="AT24" s="116">
        <v>0.1</v>
      </c>
      <c r="AU24" s="114">
        <v>152225</v>
      </c>
      <c r="AV24" s="116">
        <v>0.1</v>
      </c>
      <c r="AW24" s="114">
        <v>555088</v>
      </c>
      <c r="AX24" s="1705">
        <v>0.2</v>
      </c>
      <c r="AY24" s="103">
        <v>9803246</v>
      </c>
      <c r="AZ24" s="104">
        <v>4.0999999999999996</v>
      </c>
      <c r="BA24" s="105">
        <v>2066041</v>
      </c>
      <c r="BB24" s="104">
        <v>0.9</v>
      </c>
      <c r="BC24" s="105">
        <v>9519100</v>
      </c>
      <c r="BD24" s="267">
        <v>4</v>
      </c>
      <c r="BE24" s="122">
        <v>237366330</v>
      </c>
      <c r="BF24" s="1694">
        <v>100</v>
      </c>
      <c r="BG24" s="337"/>
    </row>
    <row r="25" spans="1:59" s="327" customFormat="1" ht="15.75" customHeight="1">
      <c r="A25" s="230" t="s">
        <v>186</v>
      </c>
      <c r="B25" s="238">
        <v>59138443</v>
      </c>
      <c r="C25" s="242">
        <f>B25/$BE$25*100</f>
        <v>32.711586994200985</v>
      </c>
      <c r="D25" s="241">
        <v>673302</v>
      </c>
      <c r="E25" s="242">
        <f>D25/$BE$25*100</f>
        <v>0.37242740642274791</v>
      </c>
      <c r="F25" s="241">
        <v>19455</v>
      </c>
      <c r="G25" s="242">
        <f>F25/$BE$25*100</f>
        <v>1.0761256006895214E-2</v>
      </c>
      <c r="H25" s="241">
        <v>390335</v>
      </c>
      <c r="I25" s="242">
        <f>H25/$BE$25*100</f>
        <v>0.21590824278856041</v>
      </c>
      <c r="J25" s="241">
        <v>298432</v>
      </c>
      <c r="K25" s="242">
        <f>J25/$BE$25*100</f>
        <v>0.16507340800050127</v>
      </c>
      <c r="L25" s="238">
        <v>8938049</v>
      </c>
      <c r="M25" s="242">
        <f>L25/$BE$25*100</f>
        <v>4.9439544328539577</v>
      </c>
      <c r="N25" s="241">
        <v>21378</v>
      </c>
      <c r="O25" s="242">
        <f>N25/$BE$25*100</f>
        <v>1.1824936053220552E-2</v>
      </c>
      <c r="P25" s="1401" t="s">
        <v>153</v>
      </c>
      <c r="Q25" s="1401" t="s">
        <v>148</v>
      </c>
      <c r="R25" s="1720">
        <v>1363</v>
      </c>
      <c r="S25" s="242">
        <f>R25/$BE$25*100</f>
        <v>7.5392402659461193E-4</v>
      </c>
      <c r="T25" s="235">
        <v>142976</v>
      </c>
      <c r="U25" s="242">
        <f>T25/$BE$25*100</f>
        <v>7.9085136923251101E-2</v>
      </c>
      <c r="V25" s="235">
        <v>809636</v>
      </c>
      <c r="W25" s="1683">
        <f>V25/$BE$25*100+0.1</f>
        <v>0.54783861569769277</v>
      </c>
      <c r="X25" s="233">
        <v>390563</v>
      </c>
      <c r="Y25" s="242">
        <f>X25/$BE$25*100</f>
        <v>0.21603435773945079</v>
      </c>
      <c r="Z25" s="240">
        <f>SUM(AB25:AD25)</f>
        <v>18325022</v>
      </c>
      <c r="AA25" s="242">
        <f>Z25/$BE$25*100</f>
        <v>10.136224778925055</v>
      </c>
      <c r="AB25" s="240">
        <v>17275742</v>
      </c>
      <c r="AC25" s="240">
        <v>1049280</v>
      </c>
      <c r="AD25" s="235">
        <v>0</v>
      </c>
      <c r="AE25" s="235">
        <v>45678</v>
      </c>
      <c r="AF25" s="242">
        <f>AE25/$BE$25*100</f>
        <v>2.5266134766536087E-2</v>
      </c>
      <c r="AG25" s="235">
        <v>928750</v>
      </c>
      <c r="AH25" s="1683">
        <f>AG25/$BE$25*100</f>
        <v>0.51372482736591774</v>
      </c>
      <c r="AI25" s="238">
        <v>3455063</v>
      </c>
      <c r="AJ25" s="242">
        <f>AI25/$BE$25*100</f>
        <v>1.9111188621409096</v>
      </c>
      <c r="AK25" s="241">
        <v>919055</v>
      </c>
      <c r="AL25" s="242">
        <f>AK25/$BE$25*100</f>
        <v>0.50836217627432945</v>
      </c>
      <c r="AM25" s="241">
        <v>42102316</v>
      </c>
      <c r="AN25" s="242">
        <f>AM25/$BE$25*100</f>
        <v>23.288296117152427</v>
      </c>
      <c r="AO25" s="272">
        <v>2332711</v>
      </c>
      <c r="AP25" s="1683">
        <f>AO25/$BE$25*100</f>
        <v>1.2903058473965838</v>
      </c>
      <c r="AQ25" s="273">
        <v>11245106</v>
      </c>
      <c r="AR25" s="242">
        <f>AQ25/$BE$25*100</f>
        <v>6.2200701357323771</v>
      </c>
      <c r="AS25" s="275">
        <v>497517</v>
      </c>
      <c r="AT25" s="242">
        <f>AS25/$BE$25*100</f>
        <v>0.27519443869352278</v>
      </c>
      <c r="AU25" s="272">
        <v>428364</v>
      </c>
      <c r="AV25" s="242">
        <f>AU25/$BE$25*100</f>
        <v>0.23694344220702449</v>
      </c>
      <c r="AW25" s="272">
        <v>4079762</v>
      </c>
      <c r="AX25" s="1683">
        <f>AW25/$BE$25*100</f>
        <v>2.2566622117297781</v>
      </c>
      <c r="AY25" s="238">
        <v>4800317</v>
      </c>
      <c r="AZ25" s="242">
        <f>AY25/$BE$25*100</f>
        <v>2.6552269417245546</v>
      </c>
      <c r="BA25" s="241">
        <v>5740154</v>
      </c>
      <c r="BB25" s="242">
        <f>BA25/$BE$25*100</f>
        <v>3.1750843851453916</v>
      </c>
      <c r="BC25" s="241">
        <v>15063700</v>
      </c>
      <c r="BD25" s="385">
        <f>BC25/$BE$25*100</f>
        <v>8.332270990031736</v>
      </c>
      <c r="BE25" s="252">
        <f>SUM(B25,D25,F25,H25,J25,L25,N25,P25,R25,T25,V25,X25,Z25,AE25,AG25,AI25,AK25,AM25,AO25,AQ25,AS25,AU25,AW25,AY25,BA25,BC25)</f>
        <v>180787447</v>
      </c>
      <c r="BF25" s="1402">
        <f>SUM(C25,E25,G25,I25,K25,M25,O25,Q25,S25,U25,W25,Y25,AA25,AF25,AH25,AJ25,AL25,AN25,AP25,AR25,AT25,AV25,AX25,AZ25,BB25,BD25)-0.1</f>
        <v>100</v>
      </c>
      <c r="BG25" s="337"/>
    </row>
    <row r="26" spans="1:59" s="327" customFormat="1" ht="15.75" customHeight="1">
      <c r="A26" s="369" t="s">
        <v>187</v>
      </c>
      <c r="B26" s="103">
        <v>76720387</v>
      </c>
      <c r="C26" s="104">
        <v>40.299999999999997</v>
      </c>
      <c r="D26" s="105">
        <v>1405879</v>
      </c>
      <c r="E26" s="104">
        <v>0.7</v>
      </c>
      <c r="F26" s="105">
        <v>31215</v>
      </c>
      <c r="G26" s="104">
        <v>0</v>
      </c>
      <c r="H26" s="105">
        <v>393325</v>
      </c>
      <c r="I26" s="104">
        <v>0.2</v>
      </c>
      <c r="J26" s="105">
        <v>280419</v>
      </c>
      <c r="K26" s="1694">
        <v>0.1</v>
      </c>
      <c r="L26" s="103">
        <v>11155219</v>
      </c>
      <c r="M26" s="104">
        <v>5.9</v>
      </c>
      <c r="N26" s="105">
        <v>59433</v>
      </c>
      <c r="O26" s="104">
        <v>0</v>
      </c>
      <c r="P26" s="1723">
        <v>0</v>
      </c>
      <c r="Q26" s="104">
        <v>0</v>
      </c>
      <c r="R26" s="1723">
        <v>2771</v>
      </c>
      <c r="S26" s="104">
        <v>0</v>
      </c>
      <c r="T26" s="101">
        <v>130844</v>
      </c>
      <c r="U26" s="99">
        <v>0.1</v>
      </c>
      <c r="V26" s="101">
        <v>1386999</v>
      </c>
      <c r="W26" s="1761">
        <v>0.7</v>
      </c>
      <c r="X26" s="100">
        <v>458407</v>
      </c>
      <c r="Y26" s="99">
        <v>0.3</v>
      </c>
      <c r="Z26" s="102">
        <v>18014953</v>
      </c>
      <c r="AA26" s="99">
        <v>9.5</v>
      </c>
      <c r="AB26" s="102">
        <v>15770703</v>
      </c>
      <c r="AC26" s="102">
        <v>2244250</v>
      </c>
      <c r="AD26" s="101">
        <v>0</v>
      </c>
      <c r="AE26" s="101">
        <v>53968</v>
      </c>
      <c r="AF26" s="99">
        <v>0</v>
      </c>
      <c r="AG26" s="101">
        <v>332791</v>
      </c>
      <c r="AH26" s="1761">
        <v>0.2</v>
      </c>
      <c r="AI26" s="103">
        <v>2297777</v>
      </c>
      <c r="AJ26" s="104">
        <v>1.2</v>
      </c>
      <c r="AK26" s="105">
        <v>328856</v>
      </c>
      <c r="AL26" s="104">
        <v>0.2</v>
      </c>
      <c r="AM26" s="105">
        <v>35202507</v>
      </c>
      <c r="AN26" s="1695">
        <v>18.5</v>
      </c>
      <c r="AO26" s="114">
        <v>0</v>
      </c>
      <c r="AP26" s="1705">
        <v>0</v>
      </c>
      <c r="AQ26" s="115">
        <v>12125523</v>
      </c>
      <c r="AR26" s="116">
        <v>6.4</v>
      </c>
      <c r="AS26" s="277">
        <v>666811</v>
      </c>
      <c r="AT26" s="116">
        <v>0.4</v>
      </c>
      <c r="AU26" s="114">
        <v>422823</v>
      </c>
      <c r="AV26" s="116">
        <v>0.2</v>
      </c>
      <c r="AW26" s="114">
        <v>1910288</v>
      </c>
      <c r="AX26" s="1705">
        <v>1</v>
      </c>
      <c r="AY26" s="103">
        <v>5478501</v>
      </c>
      <c r="AZ26" s="104">
        <v>2.9</v>
      </c>
      <c r="BA26" s="105">
        <v>3947361</v>
      </c>
      <c r="BB26" s="104">
        <v>2.1</v>
      </c>
      <c r="BC26" s="105">
        <v>17401110</v>
      </c>
      <c r="BD26" s="267">
        <v>9.1</v>
      </c>
      <c r="BE26" s="122">
        <v>190208167</v>
      </c>
      <c r="BF26" s="1694">
        <v>100</v>
      </c>
      <c r="BG26" s="337"/>
    </row>
    <row r="27" spans="1:59" s="327" customFormat="1" ht="15.75" customHeight="1">
      <c r="A27" s="230" t="s">
        <v>269</v>
      </c>
      <c r="B27" s="140">
        <v>83643692</v>
      </c>
      <c r="C27" s="136">
        <v>34.299999999999997</v>
      </c>
      <c r="D27" s="141">
        <v>1269386</v>
      </c>
      <c r="E27" s="136">
        <v>0.5</v>
      </c>
      <c r="F27" s="141">
        <v>30742</v>
      </c>
      <c r="G27" s="136">
        <v>0</v>
      </c>
      <c r="H27" s="141">
        <v>355440</v>
      </c>
      <c r="I27" s="136">
        <v>0.2</v>
      </c>
      <c r="J27" s="141">
        <v>334638</v>
      </c>
      <c r="K27" s="1677">
        <v>0.1</v>
      </c>
      <c r="L27" s="140">
        <v>12553952</v>
      </c>
      <c r="M27" s="136">
        <v>5.2</v>
      </c>
      <c r="N27" s="141">
        <v>52299</v>
      </c>
      <c r="O27" s="136">
        <v>0</v>
      </c>
      <c r="P27" s="1713">
        <v>0</v>
      </c>
      <c r="Q27" s="136">
        <v>0</v>
      </c>
      <c r="R27" s="1713">
        <v>0</v>
      </c>
      <c r="S27" s="136">
        <v>0</v>
      </c>
      <c r="T27" s="129">
        <v>162513</v>
      </c>
      <c r="U27" s="128">
        <v>0.1</v>
      </c>
      <c r="V27" s="129">
        <v>1494248</v>
      </c>
      <c r="W27" s="1764">
        <v>0.6</v>
      </c>
      <c r="X27" s="132">
        <v>562708</v>
      </c>
      <c r="Y27" s="128">
        <v>0.2</v>
      </c>
      <c r="Z27" s="144">
        <v>13045961</v>
      </c>
      <c r="AA27" s="128">
        <v>5.4</v>
      </c>
      <c r="AB27" s="144">
        <v>11132298</v>
      </c>
      <c r="AC27" s="144">
        <v>1913589</v>
      </c>
      <c r="AD27" s="129">
        <v>74</v>
      </c>
      <c r="AE27" s="129">
        <v>60317</v>
      </c>
      <c r="AF27" s="128">
        <v>0</v>
      </c>
      <c r="AG27" s="129">
        <v>423394</v>
      </c>
      <c r="AH27" s="1764">
        <v>0.2</v>
      </c>
      <c r="AI27" s="140">
        <v>1508740</v>
      </c>
      <c r="AJ27" s="136">
        <v>0.6</v>
      </c>
      <c r="AK27" s="141">
        <v>1765341</v>
      </c>
      <c r="AL27" s="136">
        <v>0.7</v>
      </c>
      <c r="AM27" s="141">
        <v>46407228</v>
      </c>
      <c r="AN27" s="1678">
        <v>19</v>
      </c>
      <c r="AO27" s="155">
        <v>13975</v>
      </c>
      <c r="AP27" s="1707">
        <v>0</v>
      </c>
      <c r="AQ27" s="268">
        <v>13430084</v>
      </c>
      <c r="AR27" s="156">
        <v>5.5</v>
      </c>
      <c r="AS27" s="154">
        <v>410917</v>
      </c>
      <c r="AT27" s="156">
        <v>0.2</v>
      </c>
      <c r="AU27" s="155">
        <v>1027136</v>
      </c>
      <c r="AV27" s="156">
        <v>0.4</v>
      </c>
      <c r="AW27" s="155">
        <v>31291901</v>
      </c>
      <c r="AX27" s="1707">
        <v>12.8</v>
      </c>
      <c r="AY27" s="140">
        <v>8472322</v>
      </c>
      <c r="AZ27" s="136">
        <v>3.5</v>
      </c>
      <c r="BA27" s="141">
        <v>4359170</v>
      </c>
      <c r="BB27" s="136">
        <v>1.8</v>
      </c>
      <c r="BC27" s="141">
        <v>21098400</v>
      </c>
      <c r="BD27" s="266">
        <v>8.6999999999999993</v>
      </c>
      <c r="BE27" s="175">
        <v>243774504</v>
      </c>
      <c r="BF27" s="1677">
        <v>100</v>
      </c>
      <c r="BG27" s="337"/>
    </row>
    <row r="28" spans="1:59" s="327" customFormat="1" ht="15.75" customHeight="1">
      <c r="A28" s="369" t="s">
        <v>270</v>
      </c>
      <c r="B28" s="75">
        <v>45058422</v>
      </c>
      <c r="C28" s="74">
        <f>B28/$BE$28*100</f>
        <v>35.679472519517141</v>
      </c>
      <c r="D28" s="76">
        <v>913540</v>
      </c>
      <c r="E28" s="74">
        <f>D28/$BE$28*100</f>
        <v>0.72338585948437539</v>
      </c>
      <c r="F28" s="76">
        <v>18159</v>
      </c>
      <c r="G28" s="74">
        <f>F28/$BE$28*100</f>
        <v>1.4379188456309271E-2</v>
      </c>
      <c r="H28" s="76">
        <v>293993</v>
      </c>
      <c r="I28" s="74">
        <f>H28/$BE$28*100</f>
        <v>0.23279810297019288</v>
      </c>
      <c r="J28" s="76">
        <v>260205</v>
      </c>
      <c r="K28" s="74">
        <f>J28/$BE$28*100</f>
        <v>0.20604310437105314</v>
      </c>
      <c r="L28" s="75">
        <v>6859900</v>
      </c>
      <c r="M28" s="74">
        <f>L28/$BE$28*100</f>
        <v>5.4320058864164311</v>
      </c>
      <c r="N28" s="76">
        <v>31010</v>
      </c>
      <c r="O28" s="74">
        <f>N28/$BE$28*100</f>
        <v>2.4555241699991768E-2</v>
      </c>
      <c r="P28" s="1726" t="s">
        <v>148</v>
      </c>
      <c r="Q28" s="74" t="s">
        <v>148</v>
      </c>
      <c r="R28" s="1726">
        <v>952</v>
      </c>
      <c r="S28" s="74">
        <f>R28/$BE$28*100</f>
        <v>7.5384037724579697E-4</v>
      </c>
      <c r="T28" s="77">
        <v>97997</v>
      </c>
      <c r="U28" s="74">
        <f>T28/$BE$28*100</f>
        <v>7.7598839757307109E-2</v>
      </c>
      <c r="V28" s="77">
        <v>991922</v>
      </c>
      <c r="W28" s="74">
        <f>V28/$BE$28*100</f>
        <v>0.7854525784437032</v>
      </c>
      <c r="X28" s="73">
        <v>277440</v>
      </c>
      <c r="Y28" s="74">
        <f>X28/$BE$28*100</f>
        <v>0.21969062422591801</v>
      </c>
      <c r="Z28" s="78">
        <v>13213456</v>
      </c>
      <c r="AA28" s="74">
        <f>Z28/$BE$28*100</f>
        <v>10.463063714034391</v>
      </c>
      <c r="AB28" s="78">
        <v>10402529</v>
      </c>
      <c r="AC28" s="78">
        <v>2810927</v>
      </c>
      <c r="AD28" s="1726">
        <v>0</v>
      </c>
      <c r="AE28" s="77">
        <v>32128</v>
      </c>
      <c r="AF28" s="74">
        <f>AE28/$BE$28*100</f>
        <v>2.5440529033774122E-2</v>
      </c>
      <c r="AG28" s="77">
        <v>176087</v>
      </c>
      <c r="AH28" s="1686">
        <f>AG28/$BE$28*100+0.1</f>
        <v>0.23943433876899228</v>
      </c>
      <c r="AI28" s="75">
        <v>883488</v>
      </c>
      <c r="AJ28" s="74">
        <f>AI28/$BE$28*100</f>
        <v>0.69958920925644397</v>
      </c>
      <c r="AK28" s="76">
        <v>355762</v>
      </c>
      <c r="AL28" s="74">
        <f>AK28/$BE$28*100</f>
        <v>0.2817098322371</v>
      </c>
      <c r="AM28" s="76">
        <v>27361454</v>
      </c>
      <c r="AN28" s="74">
        <f>AM28/$BE$28*100</f>
        <v>21.666143703102438</v>
      </c>
      <c r="AO28" s="187">
        <v>0</v>
      </c>
      <c r="AP28" s="1686">
        <f>AO28/$BE$28*100</f>
        <v>0</v>
      </c>
      <c r="AQ28" s="269">
        <v>10896167</v>
      </c>
      <c r="AR28" s="74">
        <f>AQ28/$BE$28*100</f>
        <v>8.6281204220726941</v>
      </c>
      <c r="AS28" s="276">
        <v>119114</v>
      </c>
      <c r="AT28" s="74">
        <f>AS28/$BE$28*100</f>
        <v>9.4320317957201527E-2</v>
      </c>
      <c r="AU28" s="187">
        <v>409243</v>
      </c>
      <c r="AV28" s="74">
        <f>AU28/$BE$28*100</f>
        <v>0.32405871586680851</v>
      </c>
      <c r="AW28" s="187">
        <v>1043311</v>
      </c>
      <c r="AX28" s="1686">
        <f>AW28/$BE$28*100</f>
        <v>0.82614491368139675</v>
      </c>
      <c r="AY28" s="75">
        <v>4094497</v>
      </c>
      <c r="AZ28" s="74">
        <f>AY28/$BE$28*100+0.1</f>
        <v>3.3422239108317062</v>
      </c>
      <c r="BA28" s="76">
        <v>3393954</v>
      </c>
      <c r="BB28" s="74">
        <f>BA28/$BE$28*100</f>
        <v>2.6874995417173126</v>
      </c>
      <c r="BC28" s="76">
        <v>9504481</v>
      </c>
      <c r="BD28" s="278">
        <f>BC28/$BE$28*100</f>
        <v>7.5261150657200737</v>
      </c>
      <c r="BE28" s="188">
        <v>126286682</v>
      </c>
      <c r="BF28" s="1686">
        <f>BE28/$BE$28*100</f>
        <v>100</v>
      </c>
      <c r="BG28" s="337"/>
    </row>
    <row r="29" spans="1:59" s="327" customFormat="1" ht="15.75" customHeight="1">
      <c r="A29" s="230" t="s">
        <v>271</v>
      </c>
      <c r="B29" s="140">
        <v>29410916</v>
      </c>
      <c r="C29" s="136">
        <v>33.700000000000003</v>
      </c>
      <c r="D29" s="141">
        <v>416012</v>
      </c>
      <c r="E29" s="136">
        <v>0.5</v>
      </c>
      <c r="F29" s="141">
        <v>10828</v>
      </c>
      <c r="G29" s="136">
        <v>0</v>
      </c>
      <c r="H29" s="141">
        <v>132303</v>
      </c>
      <c r="I29" s="136">
        <v>0.2</v>
      </c>
      <c r="J29" s="141">
        <v>114680</v>
      </c>
      <c r="K29" s="1677">
        <v>0.1</v>
      </c>
      <c r="L29" s="140">
        <v>5172468</v>
      </c>
      <c r="M29" s="136">
        <v>5.9</v>
      </c>
      <c r="N29" s="141" t="s">
        <v>148</v>
      </c>
      <c r="O29" s="136" t="s">
        <v>148</v>
      </c>
      <c r="P29" s="141" t="s">
        <v>148</v>
      </c>
      <c r="Q29" s="141" t="s">
        <v>148</v>
      </c>
      <c r="R29" s="141">
        <v>923</v>
      </c>
      <c r="S29" s="141">
        <v>0</v>
      </c>
      <c r="T29" s="129">
        <v>50192</v>
      </c>
      <c r="U29" s="128">
        <v>0.1</v>
      </c>
      <c r="V29" s="129">
        <v>597948</v>
      </c>
      <c r="W29" s="1764">
        <v>0.7</v>
      </c>
      <c r="X29" s="132">
        <v>178632</v>
      </c>
      <c r="Y29" s="128">
        <v>0.2</v>
      </c>
      <c r="Z29" s="144">
        <v>10964121</v>
      </c>
      <c r="AA29" s="128">
        <v>12.6</v>
      </c>
      <c r="AB29" s="144">
        <v>10298761</v>
      </c>
      <c r="AC29" s="144">
        <v>665360</v>
      </c>
      <c r="AD29" s="141" t="s">
        <v>148</v>
      </c>
      <c r="AE29" s="129">
        <v>31543</v>
      </c>
      <c r="AF29" s="128">
        <v>0</v>
      </c>
      <c r="AG29" s="129">
        <v>277724</v>
      </c>
      <c r="AH29" s="1764">
        <v>0.3</v>
      </c>
      <c r="AI29" s="140">
        <v>786994</v>
      </c>
      <c r="AJ29" s="136">
        <v>0.9</v>
      </c>
      <c r="AK29" s="141">
        <v>157867</v>
      </c>
      <c r="AL29" s="136">
        <v>0.2</v>
      </c>
      <c r="AM29" s="141">
        <v>20956984</v>
      </c>
      <c r="AN29" s="1678">
        <v>24</v>
      </c>
      <c r="AO29" s="155" t="s">
        <v>148</v>
      </c>
      <c r="AP29" s="1707" t="s">
        <v>148</v>
      </c>
      <c r="AQ29" s="268">
        <v>6739920</v>
      </c>
      <c r="AR29" s="156">
        <v>7.7</v>
      </c>
      <c r="AS29" s="154">
        <v>390930</v>
      </c>
      <c r="AT29" s="156">
        <v>0.4</v>
      </c>
      <c r="AU29" s="155">
        <v>3040960</v>
      </c>
      <c r="AV29" s="156">
        <v>3.5</v>
      </c>
      <c r="AW29" s="155">
        <v>182331</v>
      </c>
      <c r="AX29" s="1707">
        <v>0.2</v>
      </c>
      <c r="AY29" s="140">
        <v>2166410</v>
      </c>
      <c r="AZ29" s="136">
        <v>2.5</v>
      </c>
      <c r="BA29" s="141">
        <v>1664690</v>
      </c>
      <c r="BB29" s="136">
        <v>1.9</v>
      </c>
      <c r="BC29" s="141">
        <v>3868800</v>
      </c>
      <c r="BD29" s="266">
        <v>4.4000000000000004</v>
      </c>
      <c r="BE29" s="175">
        <v>87314176</v>
      </c>
      <c r="BF29" s="1677">
        <v>100</v>
      </c>
      <c r="BG29" s="337"/>
    </row>
    <row r="30" spans="1:59" s="327" customFormat="1" ht="15.75" customHeight="1">
      <c r="A30" s="369" t="s">
        <v>193</v>
      </c>
      <c r="B30" s="75">
        <v>59736362</v>
      </c>
      <c r="C30" s="74">
        <v>35</v>
      </c>
      <c r="D30" s="76">
        <v>1414905</v>
      </c>
      <c r="E30" s="74">
        <v>0.8</v>
      </c>
      <c r="F30" s="76">
        <v>20981</v>
      </c>
      <c r="G30" s="74">
        <v>0</v>
      </c>
      <c r="H30" s="76">
        <v>253638</v>
      </c>
      <c r="I30" s="74">
        <v>0.2</v>
      </c>
      <c r="J30" s="76">
        <v>183370</v>
      </c>
      <c r="K30" s="1686">
        <v>0.1</v>
      </c>
      <c r="L30" s="75">
        <v>10038221</v>
      </c>
      <c r="M30" s="74">
        <v>5.9</v>
      </c>
      <c r="N30" s="76">
        <v>51216</v>
      </c>
      <c r="O30" s="74">
        <v>0</v>
      </c>
      <c r="P30" s="1726">
        <v>0</v>
      </c>
      <c r="Q30" s="74">
        <v>0</v>
      </c>
      <c r="R30" s="1726">
        <v>0</v>
      </c>
      <c r="S30" s="74">
        <v>0</v>
      </c>
      <c r="T30" s="77">
        <v>114756</v>
      </c>
      <c r="U30" s="72">
        <v>0.1</v>
      </c>
      <c r="V30" s="77">
        <v>1085098</v>
      </c>
      <c r="W30" s="1763">
        <v>0.6</v>
      </c>
      <c r="X30" s="73">
        <v>370491</v>
      </c>
      <c r="Y30" s="72">
        <v>0.2</v>
      </c>
      <c r="Z30" s="78">
        <v>22635817</v>
      </c>
      <c r="AA30" s="72">
        <v>13.3</v>
      </c>
      <c r="AB30" s="78">
        <v>20334214</v>
      </c>
      <c r="AC30" s="78">
        <v>2301603</v>
      </c>
      <c r="AD30" s="77">
        <v>0</v>
      </c>
      <c r="AE30" s="77">
        <v>61941</v>
      </c>
      <c r="AF30" s="72">
        <v>0</v>
      </c>
      <c r="AG30" s="77">
        <v>1255869</v>
      </c>
      <c r="AH30" s="1763">
        <v>0.7</v>
      </c>
      <c r="AI30" s="75">
        <v>1331769</v>
      </c>
      <c r="AJ30" s="74">
        <v>0.8</v>
      </c>
      <c r="AK30" s="76">
        <v>834547</v>
      </c>
      <c r="AL30" s="74">
        <v>0.5</v>
      </c>
      <c r="AM30" s="76">
        <v>30737314</v>
      </c>
      <c r="AN30" s="1687">
        <v>18</v>
      </c>
      <c r="AO30" s="187">
        <v>0</v>
      </c>
      <c r="AP30" s="1702">
        <v>0</v>
      </c>
      <c r="AQ30" s="269">
        <v>10945793</v>
      </c>
      <c r="AR30" s="270">
        <v>6.4</v>
      </c>
      <c r="AS30" s="276">
        <v>575527</v>
      </c>
      <c r="AT30" s="270">
        <v>0.3</v>
      </c>
      <c r="AU30" s="187">
        <v>973518</v>
      </c>
      <c r="AV30" s="270">
        <v>0.6</v>
      </c>
      <c r="AW30" s="187">
        <v>588179</v>
      </c>
      <c r="AX30" s="1702">
        <v>0.4</v>
      </c>
      <c r="AY30" s="75">
        <v>3880171</v>
      </c>
      <c r="AZ30" s="74">
        <v>2.2999999999999998</v>
      </c>
      <c r="BA30" s="76">
        <v>17439321</v>
      </c>
      <c r="BB30" s="74">
        <v>10.199999999999999</v>
      </c>
      <c r="BC30" s="76">
        <v>6170300</v>
      </c>
      <c r="BD30" s="278">
        <v>3.6</v>
      </c>
      <c r="BE30" s="188">
        <v>170676355</v>
      </c>
      <c r="BF30" s="1686">
        <v>100</v>
      </c>
      <c r="BG30" s="337"/>
    </row>
    <row r="31" spans="1:59" s="327" customFormat="1" ht="15.75" customHeight="1">
      <c r="A31" s="230" t="s">
        <v>272</v>
      </c>
      <c r="B31" s="238">
        <v>37521099</v>
      </c>
      <c r="C31" s="242">
        <v>32.6</v>
      </c>
      <c r="D31" s="241">
        <v>926934</v>
      </c>
      <c r="E31" s="242">
        <v>0.8</v>
      </c>
      <c r="F31" s="241">
        <v>14042</v>
      </c>
      <c r="G31" s="242">
        <v>0</v>
      </c>
      <c r="H31" s="241">
        <v>169545</v>
      </c>
      <c r="I31" s="242">
        <v>0.2</v>
      </c>
      <c r="J31" s="241">
        <v>122371</v>
      </c>
      <c r="K31" s="1683">
        <v>0.1</v>
      </c>
      <c r="L31" s="238">
        <v>6512534</v>
      </c>
      <c r="M31" s="242">
        <v>5.7</v>
      </c>
      <c r="N31" s="241">
        <v>30772</v>
      </c>
      <c r="O31" s="242">
        <v>0</v>
      </c>
      <c r="P31" s="1720" t="s">
        <v>148</v>
      </c>
      <c r="Q31" s="242" t="s">
        <v>148</v>
      </c>
      <c r="R31" s="1720" t="s">
        <v>148</v>
      </c>
      <c r="S31" s="242" t="s">
        <v>148</v>
      </c>
      <c r="T31" s="235">
        <v>60217</v>
      </c>
      <c r="U31" s="232">
        <v>0.1</v>
      </c>
      <c r="V31" s="235">
        <v>698114</v>
      </c>
      <c r="W31" s="1759">
        <v>0.6</v>
      </c>
      <c r="X31" s="233">
        <v>255665</v>
      </c>
      <c r="Y31" s="232">
        <v>0.2</v>
      </c>
      <c r="Z31" s="240">
        <v>15465817</v>
      </c>
      <c r="AA31" s="232">
        <v>13.4</v>
      </c>
      <c r="AB31" s="240">
        <v>14128615</v>
      </c>
      <c r="AC31" s="240">
        <v>1336923</v>
      </c>
      <c r="AD31" s="235">
        <v>279</v>
      </c>
      <c r="AE31" s="235">
        <v>40031</v>
      </c>
      <c r="AF31" s="232">
        <v>0</v>
      </c>
      <c r="AG31" s="235">
        <v>257827</v>
      </c>
      <c r="AH31" s="1759">
        <v>0.2</v>
      </c>
      <c r="AI31" s="238">
        <v>1599721</v>
      </c>
      <c r="AJ31" s="242">
        <v>1.4</v>
      </c>
      <c r="AK31" s="241">
        <v>247725</v>
      </c>
      <c r="AL31" s="242">
        <v>0.2</v>
      </c>
      <c r="AM31" s="241">
        <v>19869637</v>
      </c>
      <c r="AN31" s="1684">
        <v>17.3</v>
      </c>
      <c r="AO31" s="272">
        <v>35353</v>
      </c>
      <c r="AP31" s="1760">
        <v>0</v>
      </c>
      <c r="AQ31" s="273">
        <v>7211843</v>
      </c>
      <c r="AR31" s="274">
        <v>6.3</v>
      </c>
      <c r="AS31" s="275">
        <v>303151</v>
      </c>
      <c r="AT31" s="274">
        <v>0.3</v>
      </c>
      <c r="AU31" s="272">
        <v>443770</v>
      </c>
      <c r="AV31" s="274">
        <v>0.4</v>
      </c>
      <c r="AW31" s="272">
        <v>4483373</v>
      </c>
      <c r="AX31" s="1760">
        <v>3.9</v>
      </c>
      <c r="AY31" s="238">
        <v>3275378</v>
      </c>
      <c r="AZ31" s="242">
        <v>2.8</v>
      </c>
      <c r="BA31" s="241">
        <v>8299687</v>
      </c>
      <c r="BB31" s="242">
        <v>7.2</v>
      </c>
      <c r="BC31" s="241">
        <v>7245600</v>
      </c>
      <c r="BD31" s="385">
        <v>6.3</v>
      </c>
      <c r="BE31" s="252">
        <v>115090206</v>
      </c>
      <c r="BF31" s="1677">
        <v>100</v>
      </c>
      <c r="BG31" s="337"/>
    </row>
    <row r="32" spans="1:59" s="327" customFormat="1" ht="15.75" customHeight="1">
      <c r="A32" s="369" t="s">
        <v>637</v>
      </c>
      <c r="B32" s="75">
        <v>66812615</v>
      </c>
      <c r="C32" s="74">
        <v>33.9</v>
      </c>
      <c r="D32" s="76">
        <v>1121311</v>
      </c>
      <c r="E32" s="74">
        <v>0.6</v>
      </c>
      <c r="F32" s="76">
        <v>24857</v>
      </c>
      <c r="G32" s="74">
        <v>0</v>
      </c>
      <c r="H32" s="76">
        <v>366923</v>
      </c>
      <c r="I32" s="74">
        <v>0.2</v>
      </c>
      <c r="J32" s="76">
        <v>271894</v>
      </c>
      <c r="K32" s="1686">
        <v>0.1</v>
      </c>
      <c r="L32" s="75">
        <v>10443223</v>
      </c>
      <c r="M32" s="74">
        <v>5.3</v>
      </c>
      <c r="N32" s="76">
        <v>24547</v>
      </c>
      <c r="O32" s="74">
        <v>0</v>
      </c>
      <c r="P32" s="1726" t="s">
        <v>148</v>
      </c>
      <c r="Q32" s="74" t="s">
        <v>148</v>
      </c>
      <c r="R32" s="1726" t="s">
        <v>148</v>
      </c>
      <c r="S32" s="74" t="s">
        <v>148</v>
      </c>
      <c r="T32" s="77">
        <v>126743</v>
      </c>
      <c r="U32" s="72">
        <v>0.1</v>
      </c>
      <c r="V32" s="77">
        <v>1043264</v>
      </c>
      <c r="W32" s="1763">
        <v>0.5</v>
      </c>
      <c r="X32" s="73">
        <v>478235</v>
      </c>
      <c r="Y32" s="72">
        <v>0.2</v>
      </c>
      <c r="Z32" s="78">
        <v>12786426</v>
      </c>
      <c r="AA32" s="72">
        <v>6.5</v>
      </c>
      <c r="AB32" s="78">
        <v>11829623</v>
      </c>
      <c r="AC32" s="78">
        <v>956803</v>
      </c>
      <c r="AD32" s="77" t="s">
        <v>148</v>
      </c>
      <c r="AE32" s="77">
        <v>50763</v>
      </c>
      <c r="AF32" s="72">
        <v>0</v>
      </c>
      <c r="AG32" s="77">
        <v>2410778</v>
      </c>
      <c r="AH32" s="1763">
        <v>1.2</v>
      </c>
      <c r="AI32" s="75">
        <v>2596564</v>
      </c>
      <c r="AJ32" s="74">
        <v>1.3</v>
      </c>
      <c r="AK32" s="76">
        <v>612494</v>
      </c>
      <c r="AL32" s="74">
        <v>0.3</v>
      </c>
      <c r="AM32" s="76">
        <v>38430506</v>
      </c>
      <c r="AN32" s="1687">
        <v>19.5</v>
      </c>
      <c r="AO32" s="187">
        <v>10742</v>
      </c>
      <c r="AP32" s="1702">
        <v>0</v>
      </c>
      <c r="AQ32" s="269">
        <v>12308879</v>
      </c>
      <c r="AR32" s="270">
        <v>6.3</v>
      </c>
      <c r="AS32" s="276">
        <v>311280</v>
      </c>
      <c r="AT32" s="270">
        <v>0.2</v>
      </c>
      <c r="AU32" s="187">
        <v>323220</v>
      </c>
      <c r="AV32" s="270">
        <v>0.2</v>
      </c>
      <c r="AW32" s="187">
        <v>2184804</v>
      </c>
      <c r="AX32" s="1702">
        <v>1.1000000000000001</v>
      </c>
      <c r="AY32" s="75">
        <v>9381080</v>
      </c>
      <c r="AZ32" s="74">
        <v>4.8</v>
      </c>
      <c r="BA32" s="76">
        <v>22045699</v>
      </c>
      <c r="BB32" s="74">
        <v>11.2</v>
      </c>
      <c r="BC32" s="76">
        <v>12711700</v>
      </c>
      <c r="BD32" s="278">
        <v>6.5</v>
      </c>
      <c r="BE32" s="188">
        <v>196878547</v>
      </c>
      <c r="BF32" s="1694">
        <v>100</v>
      </c>
      <c r="BG32" s="337"/>
    </row>
    <row r="33" spans="1:59" s="327" customFormat="1" ht="15.75" customHeight="1">
      <c r="A33" s="230" t="s">
        <v>197</v>
      </c>
      <c r="B33" s="238">
        <v>65321527</v>
      </c>
      <c r="C33" s="242">
        <v>45.5</v>
      </c>
      <c r="D33" s="241">
        <v>1384839</v>
      </c>
      <c r="E33" s="242">
        <v>1</v>
      </c>
      <c r="F33" s="241">
        <v>25944</v>
      </c>
      <c r="G33" s="242">
        <v>0</v>
      </c>
      <c r="H33" s="241">
        <v>454994</v>
      </c>
      <c r="I33" s="242">
        <v>0.3</v>
      </c>
      <c r="J33" s="241">
        <v>312814</v>
      </c>
      <c r="K33" s="1683">
        <v>0.2</v>
      </c>
      <c r="L33" s="238">
        <v>9286144</v>
      </c>
      <c r="M33" s="242">
        <v>6.5</v>
      </c>
      <c r="N33" s="241" t="s">
        <v>148</v>
      </c>
      <c r="O33" s="242" t="s">
        <v>148</v>
      </c>
      <c r="P33" s="1720" t="s">
        <v>148</v>
      </c>
      <c r="Q33" s="242" t="s">
        <v>148</v>
      </c>
      <c r="R33" s="1720">
        <v>17</v>
      </c>
      <c r="S33" s="242">
        <v>0</v>
      </c>
      <c r="T33" s="235">
        <v>284939</v>
      </c>
      <c r="U33" s="232">
        <v>0.2</v>
      </c>
      <c r="V33" s="235">
        <v>1124248</v>
      </c>
      <c r="W33" s="1759">
        <v>0.8</v>
      </c>
      <c r="X33" s="233">
        <v>512306</v>
      </c>
      <c r="Y33" s="232">
        <v>0.30000000000000004</v>
      </c>
      <c r="Z33" s="240">
        <v>1520893</v>
      </c>
      <c r="AA33" s="232">
        <v>1.1000000000000001</v>
      </c>
      <c r="AB33" s="240">
        <v>985711</v>
      </c>
      <c r="AC33" s="240">
        <v>535131</v>
      </c>
      <c r="AD33" s="235">
        <v>51</v>
      </c>
      <c r="AE33" s="235">
        <v>63563</v>
      </c>
      <c r="AF33" s="232">
        <v>0</v>
      </c>
      <c r="AG33" s="235">
        <v>315790</v>
      </c>
      <c r="AH33" s="1759">
        <v>0.2</v>
      </c>
      <c r="AI33" s="238">
        <v>1704436</v>
      </c>
      <c r="AJ33" s="242">
        <v>1.2</v>
      </c>
      <c r="AK33" s="241">
        <v>904941</v>
      </c>
      <c r="AL33" s="242">
        <v>0.6</v>
      </c>
      <c r="AM33" s="241">
        <v>30727469</v>
      </c>
      <c r="AN33" s="1684">
        <v>21.4</v>
      </c>
      <c r="AO33" s="272">
        <v>3950</v>
      </c>
      <c r="AP33" s="1760">
        <v>0</v>
      </c>
      <c r="AQ33" s="273">
        <v>12665532</v>
      </c>
      <c r="AR33" s="274">
        <v>8.8000000000000007</v>
      </c>
      <c r="AS33" s="275">
        <v>554683</v>
      </c>
      <c r="AT33" s="274">
        <v>0.4</v>
      </c>
      <c r="AU33" s="272">
        <v>236515</v>
      </c>
      <c r="AV33" s="274">
        <v>0.2</v>
      </c>
      <c r="AW33" s="272">
        <v>1628868</v>
      </c>
      <c r="AX33" s="1760">
        <v>1.1000000000000001</v>
      </c>
      <c r="AY33" s="238">
        <v>3413889</v>
      </c>
      <c r="AZ33" s="242">
        <v>2.4</v>
      </c>
      <c r="BA33" s="241">
        <v>4708962</v>
      </c>
      <c r="BB33" s="242">
        <v>3.3</v>
      </c>
      <c r="BC33" s="241">
        <v>6533500</v>
      </c>
      <c r="BD33" s="385">
        <v>4.5</v>
      </c>
      <c r="BE33" s="252">
        <v>143690763</v>
      </c>
      <c r="BF33" s="1677">
        <v>100</v>
      </c>
      <c r="BG33" s="337"/>
    </row>
    <row r="34" spans="1:59" s="327" customFormat="1" ht="15.75" customHeight="1">
      <c r="A34" s="369" t="s">
        <v>198</v>
      </c>
      <c r="B34" s="75">
        <v>70635510</v>
      </c>
      <c r="C34" s="74">
        <v>46.3</v>
      </c>
      <c r="D34" s="76">
        <v>989810</v>
      </c>
      <c r="E34" s="74">
        <v>0.7</v>
      </c>
      <c r="F34" s="76">
        <v>30147</v>
      </c>
      <c r="G34" s="74">
        <v>0</v>
      </c>
      <c r="H34" s="76">
        <v>528419</v>
      </c>
      <c r="I34" s="74">
        <v>0.4</v>
      </c>
      <c r="J34" s="76">
        <v>363033</v>
      </c>
      <c r="K34" s="1686">
        <v>0.2</v>
      </c>
      <c r="L34" s="75">
        <v>9461716</v>
      </c>
      <c r="M34" s="74">
        <v>6.2</v>
      </c>
      <c r="N34" s="76">
        <v>90644</v>
      </c>
      <c r="O34" s="74">
        <v>0.1</v>
      </c>
      <c r="P34" s="1726" t="s">
        <v>148</v>
      </c>
      <c r="Q34" s="74" t="s">
        <v>148</v>
      </c>
      <c r="R34" s="1726">
        <v>13</v>
      </c>
      <c r="S34" s="74">
        <v>0</v>
      </c>
      <c r="T34" s="77">
        <v>212261</v>
      </c>
      <c r="U34" s="72">
        <v>0.1</v>
      </c>
      <c r="V34" s="77">
        <v>1110444</v>
      </c>
      <c r="W34" s="1763">
        <v>0.7</v>
      </c>
      <c r="X34" s="73">
        <v>576612</v>
      </c>
      <c r="Y34" s="72">
        <v>0.4</v>
      </c>
      <c r="Z34" s="78">
        <v>264751</v>
      </c>
      <c r="AA34" s="72">
        <v>0.2</v>
      </c>
      <c r="AB34" s="78" t="s">
        <v>148</v>
      </c>
      <c r="AC34" s="78">
        <v>264751</v>
      </c>
      <c r="AD34" s="77" t="s">
        <v>148</v>
      </c>
      <c r="AE34" s="77">
        <v>49780</v>
      </c>
      <c r="AF34" s="72">
        <v>0</v>
      </c>
      <c r="AG34" s="77">
        <v>767900</v>
      </c>
      <c r="AH34" s="1763">
        <v>0.5</v>
      </c>
      <c r="AI34" s="75">
        <v>1639200</v>
      </c>
      <c r="AJ34" s="74">
        <v>1.1000000000000001</v>
      </c>
      <c r="AK34" s="76">
        <v>592907</v>
      </c>
      <c r="AL34" s="74">
        <v>0.4</v>
      </c>
      <c r="AM34" s="76">
        <v>27835293</v>
      </c>
      <c r="AN34" s="1687">
        <v>18.2</v>
      </c>
      <c r="AO34" s="187" t="s">
        <v>148</v>
      </c>
      <c r="AP34" s="1702" t="s">
        <v>148</v>
      </c>
      <c r="AQ34" s="269">
        <v>11423672</v>
      </c>
      <c r="AR34" s="270">
        <v>7.5</v>
      </c>
      <c r="AS34" s="276">
        <v>1232900</v>
      </c>
      <c r="AT34" s="270">
        <v>0.8</v>
      </c>
      <c r="AU34" s="187">
        <v>337400</v>
      </c>
      <c r="AV34" s="270">
        <v>0.2</v>
      </c>
      <c r="AW34" s="187">
        <v>11800288</v>
      </c>
      <c r="AX34" s="1702">
        <v>7.7</v>
      </c>
      <c r="AY34" s="75">
        <v>5060497</v>
      </c>
      <c r="AZ34" s="74">
        <v>3.3</v>
      </c>
      <c r="BA34" s="76">
        <v>4396615</v>
      </c>
      <c r="BB34" s="74">
        <v>2.9</v>
      </c>
      <c r="BC34" s="76">
        <v>3177000</v>
      </c>
      <c r="BD34" s="278">
        <v>2.1</v>
      </c>
      <c r="BE34" s="188">
        <v>152576812</v>
      </c>
      <c r="BF34" s="1694">
        <v>100</v>
      </c>
      <c r="BG34" s="337"/>
    </row>
    <row r="35" spans="1:59" s="327" customFormat="1" ht="15.75" customHeight="1">
      <c r="A35" s="230" t="s">
        <v>199</v>
      </c>
      <c r="B35" s="238">
        <v>51875002</v>
      </c>
      <c r="C35" s="242">
        <v>35.6</v>
      </c>
      <c r="D35" s="241">
        <v>987076</v>
      </c>
      <c r="E35" s="242">
        <v>0.7</v>
      </c>
      <c r="F35" s="241">
        <v>24154</v>
      </c>
      <c r="G35" s="242">
        <v>0</v>
      </c>
      <c r="H35" s="241">
        <v>424653</v>
      </c>
      <c r="I35" s="242">
        <v>0.3</v>
      </c>
      <c r="J35" s="241">
        <v>292954</v>
      </c>
      <c r="K35" s="1683">
        <v>0.2</v>
      </c>
      <c r="L35" s="238">
        <v>9146201</v>
      </c>
      <c r="M35" s="242">
        <v>6.3</v>
      </c>
      <c r="N35" s="241" t="s">
        <v>148</v>
      </c>
      <c r="O35" s="242" t="s">
        <v>148</v>
      </c>
      <c r="P35" s="1720" t="s">
        <v>148</v>
      </c>
      <c r="Q35" s="242" t="s">
        <v>148</v>
      </c>
      <c r="R35" s="1720">
        <v>13</v>
      </c>
      <c r="S35" s="242">
        <v>0</v>
      </c>
      <c r="T35" s="235">
        <v>223767</v>
      </c>
      <c r="U35" s="232">
        <v>0.1</v>
      </c>
      <c r="V35" s="235">
        <v>864414</v>
      </c>
      <c r="W35" s="1759">
        <v>0.6</v>
      </c>
      <c r="X35" s="233">
        <v>497280</v>
      </c>
      <c r="Y35" s="232">
        <v>0.3</v>
      </c>
      <c r="Z35" s="240">
        <v>14948555</v>
      </c>
      <c r="AA35" s="232">
        <v>10.3</v>
      </c>
      <c r="AB35" s="240">
        <v>14664420</v>
      </c>
      <c r="AC35" s="240">
        <v>284135</v>
      </c>
      <c r="AD35" s="235" t="s">
        <v>148</v>
      </c>
      <c r="AE35" s="235">
        <v>52780</v>
      </c>
      <c r="AF35" s="232">
        <v>0</v>
      </c>
      <c r="AG35" s="235">
        <v>262171</v>
      </c>
      <c r="AH35" s="1759">
        <v>0.2</v>
      </c>
      <c r="AI35" s="238">
        <v>1394142</v>
      </c>
      <c r="AJ35" s="242">
        <v>1</v>
      </c>
      <c r="AK35" s="241">
        <v>991762</v>
      </c>
      <c r="AL35" s="242">
        <v>0.7</v>
      </c>
      <c r="AM35" s="241">
        <v>30024314</v>
      </c>
      <c r="AN35" s="1684">
        <v>20.6</v>
      </c>
      <c r="AO35" s="272" t="s">
        <v>148</v>
      </c>
      <c r="AP35" s="1760" t="s">
        <v>148</v>
      </c>
      <c r="AQ35" s="273">
        <v>13185328</v>
      </c>
      <c r="AR35" s="274">
        <v>9.1</v>
      </c>
      <c r="AS35" s="275">
        <v>510937</v>
      </c>
      <c r="AT35" s="274">
        <v>0.3</v>
      </c>
      <c r="AU35" s="272">
        <v>88386</v>
      </c>
      <c r="AV35" s="274">
        <v>0.1</v>
      </c>
      <c r="AW35" s="272">
        <v>3345471</v>
      </c>
      <c r="AX35" s="1760">
        <v>2.2999999999999998</v>
      </c>
      <c r="AY35" s="238">
        <v>7115209</v>
      </c>
      <c r="AZ35" s="242">
        <v>4.9000000000000004</v>
      </c>
      <c r="BA35" s="241">
        <v>2744345</v>
      </c>
      <c r="BB35" s="242">
        <v>1.9</v>
      </c>
      <c r="BC35" s="241">
        <v>6601000</v>
      </c>
      <c r="BD35" s="385">
        <v>4.5</v>
      </c>
      <c r="BE35" s="252">
        <v>145599914</v>
      </c>
      <c r="BF35" s="1677">
        <v>100</v>
      </c>
      <c r="BG35" s="337"/>
    </row>
    <row r="36" spans="1:59" s="327" customFormat="1" ht="15.75" customHeight="1">
      <c r="A36" s="369" t="s">
        <v>638</v>
      </c>
      <c r="B36" s="103">
        <v>121306134</v>
      </c>
      <c r="C36" s="104">
        <v>56</v>
      </c>
      <c r="D36" s="105">
        <v>1355693</v>
      </c>
      <c r="E36" s="104">
        <v>0.6</v>
      </c>
      <c r="F36" s="105">
        <v>35994</v>
      </c>
      <c r="G36" s="104">
        <v>0</v>
      </c>
      <c r="H36" s="105">
        <v>630995</v>
      </c>
      <c r="I36" s="104">
        <v>0.30000000000000004</v>
      </c>
      <c r="J36" s="105">
        <v>433585</v>
      </c>
      <c r="K36" s="1694">
        <v>0.2</v>
      </c>
      <c r="L36" s="103">
        <v>11229638</v>
      </c>
      <c r="M36" s="104">
        <v>5.1999999999999993</v>
      </c>
      <c r="N36" s="105">
        <v>366804</v>
      </c>
      <c r="O36" s="104">
        <v>0.2</v>
      </c>
      <c r="P36" s="1723" t="s">
        <v>148</v>
      </c>
      <c r="Q36" s="104" t="s">
        <v>148</v>
      </c>
      <c r="R36" s="1723">
        <v>17</v>
      </c>
      <c r="S36" s="104">
        <v>0</v>
      </c>
      <c r="T36" s="101">
        <v>281120</v>
      </c>
      <c r="U36" s="99">
        <v>0.1</v>
      </c>
      <c r="V36" s="101">
        <v>3090777</v>
      </c>
      <c r="W36" s="1761">
        <v>1.4</v>
      </c>
      <c r="X36" s="100">
        <v>563678</v>
      </c>
      <c r="Y36" s="99">
        <v>0.30000000000000004</v>
      </c>
      <c r="Z36" s="102">
        <v>273862</v>
      </c>
      <c r="AA36" s="99">
        <v>0.1</v>
      </c>
      <c r="AB36" s="102" t="s">
        <v>148</v>
      </c>
      <c r="AC36" s="102">
        <v>273862</v>
      </c>
      <c r="AD36" s="101" t="s">
        <v>148</v>
      </c>
      <c r="AE36" s="101">
        <v>50058</v>
      </c>
      <c r="AF36" s="99">
        <v>0</v>
      </c>
      <c r="AG36" s="101">
        <v>169470</v>
      </c>
      <c r="AH36" s="1761">
        <v>0.1</v>
      </c>
      <c r="AI36" s="103">
        <v>1861662</v>
      </c>
      <c r="AJ36" s="104">
        <v>0.9</v>
      </c>
      <c r="AK36" s="105">
        <v>773111</v>
      </c>
      <c r="AL36" s="104">
        <v>0.4</v>
      </c>
      <c r="AM36" s="105">
        <v>30049050</v>
      </c>
      <c r="AN36" s="1695">
        <v>13.9</v>
      </c>
      <c r="AO36" s="114" t="s">
        <v>148</v>
      </c>
      <c r="AP36" s="1705" t="s">
        <v>148</v>
      </c>
      <c r="AQ36" s="115">
        <v>14806809</v>
      </c>
      <c r="AR36" s="116">
        <v>6.8</v>
      </c>
      <c r="AS36" s="277">
        <v>415931</v>
      </c>
      <c r="AT36" s="116">
        <v>0.2</v>
      </c>
      <c r="AU36" s="114">
        <v>513731</v>
      </c>
      <c r="AV36" s="116">
        <v>0.2</v>
      </c>
      <c r="AW36" s="114">
        <v>3710351</v>
      </c>
      <c r="AX36" s="1705">
        <v>1.7</v>
      </c>
      <c r="AY36" s="103">
        <v>14256693</v>
      </c>
      <c r="AZ36" s="104">
        <v>6.6</v>
      </c>
      <c r="BA36" s="105">
        <v>6054801</v>
      </c>
      <c r="BB36" s="104">
        <v>2.8000000000000003</v>
      </c>
      <c r="BC36" s="105">
        <v>4422800</v>
      </c>
      <c r="BD36" s="267">
        <v>2</v>
      </c>
      <c r="BE36" s="122">
        <v>216652764</v>
      </c>
      <c r="BF36" s="1694">
        <v>100</v>
      </c>
      <c r="BG36" s="337"/>
    </row>
    <row r="37" spans="1:59" s="327" customFormat="1" ht="15.75" customHeight="1">
      <c r="A37" s="230" t="s">
        <v>203</v>
      </c>
      <c r="B37" s="140">
        <v>53711015</v>
      </c>
      <c r="C37" s="136">
        <v>37.299999999999997</v>
      </c>
      <c r="D37" s="141">
        <v>795248</v>
      </c>
      <c r="E37" s="136">
        <v>0.6</v>
      </c>
      <c r="F37" s="141">
        <v>30779</v>
      </c>
      <c r="G37" s="136">
        <v>0</v>
      </c>
      <c r="H37" s="141">
        <v>307392</v>
      </c>
      <c r="I37" s="136">
        <v>0.2</v>
      </c>
      <c r="J37" s="141">
        <v>243490</v>
      </c>
      <c r="K37" s="1677">
        <v>0.2</v>
      </c>
      <c r="L37" s="140">
        <v>7788266</v>
      </c>
      <c r="M37" s="136">
        <v>5.4</v>
      </c>
      <c r="N37" s="141">
        <v>183677</v>
      </c>
      <c r="O37" s="136">
        <v>0.1</v>
      </c>
      <c r="P37" s="1713" t="s">
        <v>153</v>
      </c>
      <c r="Q37" s="136" t="s">
        <v>153</v>
      </c>
      <c r="R37" s="1713" t="s">
        <v>153</v>
      </c>
      <c r="S37" s="136" t="s">
        <v>153</v>
      </c>
      <c r="T37" s="129">
        <v>117372</v>
      </c>
      <c r="U37" s="128">
        <v>0.1</v>
      </c>
      <c r="V37" s="129">
        <v>745395</v>
      </c>
      <c r="W37" s="1764">
        <v>0.5</v>
      </c>
      <c r="X37" s="132">
        <v>420202</v>
      </c>
      <c r="Y37" s="128">
        <v>0.3</v>
      </c>
      <c r="Z37" s="144">
        <v>13377439</v>
      </c>
      <c r="AA37" s="128">
        <v>9.3000000000000007</v>
      </c>
      <c r="AB37" s="144">
        <v>12685524</v>
      </c>
      <c r="AC37" s="144">
        <v>691871</v>
      </c>
      <c r="AD37" s="129">
        <v>44</v>
      </c>
      <c r="AE37" s="129">
        <v>38091</v>
      </c>
      <c r="AF37" s="128">
        <v>0</v>
      </c>
      <c r="AG37" s="129">
        <v>864097</v>
      </c>
      <c r="AH37" s="1764">
        <v>0.6</v>
      </c>
      <c r="AI37" s="140">
        <v>1857519</v>
      </c>
      <c r="AJ37" s="136">
        <v>1.3</v>
      </c>
      <c r="AK37" s="141">
        <v>827057</v>
      </c>
      <c r="AL37" s="136">
        <v>0.6</v>
      </c>
      <c r="AM37" s="141">
        <v>34309278</v>
      </c>
      <c r="AN37" s="1678">
        <v>23.8</v>
      </c>
      <c r="AO37" s="155">
        <v>16622</v>
      </c>
      <c r="AP37" s="1707">
        <v>0</v>
      </c>
      <c r="AQ37" s="268">
        <v>10203554</v>
      </c>
      <c r="AR37" s="156">
        <v>7.1</v>
      </c>
      <c r="AS37" s="154">
        <v>465466</v>
      </c>
      <c r="AT37" s="156">
        <v>0.3</v>
      </c>
      <c r="AU37" s="155">
        <v>324672</v>
      </c>
      <c r="AV37" s="156">
        <v>0.2</v>
      </c>
      <c r="AW37" s="155">
        <v>650924</v>
      </c>
      <c r="AX37" s="1707">
        <v>0.5</v>
      </c>
      <c r="AY37" s="140">
        <v>4849218</v>
      </c>
      <c r="AZ37" s="136">
        <v>3.4</v>
      </c>
      <c r="BA37" s="141">
        <v>3078289</v>
      </c>
      <c r="BB37" s="136">
        <v>2.1</v>
      </c>
      <c r="BC37" s="141">
        <v>8955600</v>
      </c>
      <c r="BD37" s="266">
        <v>6.2</v>
      </c>
      <c r="BE37" s="175">
        <v>144160662</v>
      </c>
      <c r="BF37" s="1677">
        <v>100</v>
      </c>
      <c r="BG37" s="337"/>
    </row>
    <row r="38" spans="1:59" s="327" customFormat="1" ht="15.75" customHeight="1">
      <c r="A38" s="369" t="s">
        <v>204</v>
      </c>
      <c r="B38" s="103">
        <v>71685998</v>
      </c>
      <c r="C38" s="104">
        <v>38.5</v>
      </c>
      <c r="D38" s="105">
        <v>1994043</v>
      </c>
      <c r="E38" s="104">
        <v>1.1000000000000001</v>
      </c>
      <c r="F38" s="105">
        <v>77834</v>
      </c>
      <c r="G38" s="104">
        <v>0</v>
      </c>
      <c r="H38" s="105">
        <v>650415</v>
      </c>
      <c r="I38" s="104">
        <v>0.3</v>
      </c>
      <c r="J38" s="105">
        <v>465938</v>
      </c>
      <c r="K38" s="1694">
        <v>0.2</v>
      </c>
      <c r="L38" s="103">
        <v>9094674</v>
      </c>
      <c r="M38" s="104">
        <v>4.8999999999999995</v>
      </c>
      <c r="N38" s="76">
        <v>0</v>
      </c>
      <c r="O38" s="74">
        <v>0</v>
      </c>
      <c r="P38" s="1726">
        <v>0</v>
      </c>
      <c r="Q38" s="74">
        <v>0</v>
      </c>
      <c r="R38" s="1726">
        <v>4561</v>
      </c>
      <c r="S38" s="74">
        <v>0</v>
      </c>
      <c r="T38" s="101">
        <v>136481</v>
      </c>
      <c r="U38" s="99">
        <v>0.1</v>
      </c>
      <c r="V38" s="101">
        <v>840442</v>
      </c>
      <c r="W38" s="1761">
        <v>0.5</v>
      </c>
      <c r="X38" s="100">
        <v>400345</v>
      </c>
      <c r="Y38" s="99">
        <v>0.2</v>
      </c>
      <c r="Z38" s="102">
        <v>10427407</v>
      </c>
      <c r="AA38" s="99">
        <v>5.6</v>
      </c>
      <c r="AB38" s="102">
        <v>9842915</v>
      </c>
      <c r="AC38" s="102">
        <v>584492</v>
      </c>
      <c r="AD38" s="101">
        <v>0</v>
      </c>
      <c r="AE38" s="101">
        <v>42041</v>
      </c>
      <c r="AF38" s="99">
        <v>0</v>
      </c>
      <c r="AG38" s="101">
        <v>1073106</v>
      </c>
      <c r="AH38" s="1761">
        <v>0.6</v>
      </c>
      <c r="AI38" s="103">
        <v>1783595</v>
      </c>
      <c r="AJ38" s="104">
        <v>1</v>
      </c>
      <c r="AK38" s="105">
        <v>291077</v>
      </c>
      <c r="AL38" s="104">
        <v>0.2</v>
      </c>
      <c r="AM38" s="105">
        <v>48119973</v>
      </c>
      <c r="AN38" s="1695">
        <v>25.900000000000002</v>
      </c>
      <c r="AO38" s="114">
        <v>0</v>
      </c>
      <c r="AP38" s="1705">
        <v>0</v>
      </c>
      <c r="AQ38" s="115">
        <v>13357619</v>
      </c>
      <c r="AR38" s="116">
        <v>7.1999999999999993</v>
      </c>
      <c r="AS38" s="277">
        <v>214700</v>
      </c>
      <c r="AT38" s="116">
        <v>0.1</v>
      </c>
      <c r="AU38" s="114">
        <v>235126</v>
      </c>
      <c r="AV38" s="116">
        <v>0.1</v>
      </c>
      <c r="AW38" s="114">
        <v>6067621</v>
      </c>
      <c r="AX38" s="1705">
        <v>3.3000000000000003</v>
      </c>
      <c r="AY38" s="103">
        <v>5928908</v>
      </c>
      <c r="AZ38" s="104">
        <v>3.2</v>
      </c>
      <c r="BA38" s="105">
        <v>3587110</v>
      </c>
      <c r="BB38" s="104">
        <v>1.9</v>
      </c>
      <c r="BC38" s="105">
        <v>9563076</v>
      </c>
      <c r="BD38" s="267">
        <v>5.0999999999999996</v>
      </c>
      <c r="BE38" s="122">
        <v>186042090</v>
      </c>
      <c r="BF38" s="1694">
        <v>100</v>
      </c>
      <c r="BG38" s="337"/>
    </row>
    <row r="39" spans="1:59" s="327" customFormat="1" ht="15.75" customHeight="1">
      <c r="A39" s="230" t="s">
        <v>205</v>
      </c>
      <c r="B39" s="238">
        <v>70539746</v>
      </c>
      <c r="C39" s="242">
        <v>44</v>
      </c>
      <c r="D39" s="241">
        <v>596530</v>
      </c>
      <c r="E39" s="136">
        <v>0.4</v>
      </c>
      <c r="F39" s="241">
        <v>71475</v>
      </c>
      <c r="G39" s="242">
        <v>0</v>
      </c>
      <c r="H39" s="241">
        <v>598035</v>
      </c>
      <c r="I39" s="136">
        <v>0.4</v>
      </c>
      <c r="J39" s="241">
        <v>429054</v>
      </c>
      <c r="K39" s="1683">
        <v>0.3</v>
      </c>
      <c r="L39" s="234">
        <v>8902731</v>
      </c>
      <c r="M39" s="242">
        <v>5.6</v>
      </c>
      <c r="N39" s="141" t="s">
        <v>148</v>
      </c>
      <c r="O39" s="141" t="s">
        <v>148</v>
      </c>
      <c r="P39" s="1713">
        <v>0</v>
      </c>
      <c r="Q39" s="136">
        <v>0</v>
      </c>
      <c r="R39" s="1720">
        <v>4334</v>
      </c>
      <c r="S39" s="136">
        <v>0</v>
      </c>
      <c r="T39" s="235">
        <v>129688</v>
      </c>
      <c r="U39" s="128">
        <v>0.1</v>
      </c>
      <c r="V39" s="235">
        <v>942568</v>
      </c>
      <c r="W39" s="1759">
        <v>0.6</v>
      </c>
      <c r="X39" s="233">
        <v>387710</v>
      </c>
      <c r="Y39" s="232">
        <v>0.2</v>
      </c>
      <c r="Z39" s="240">
        <v>2967755</v>
      </c>
      <c r="AA39" s="232">
        <v>1.9</v>
      </c>
      <c r="AB39" s="243">
        <v>2701712</v>
      </c>
      <c r="AC39" s="235">
        <v>265936</v>
      </c>
      <c r="AD39" s="240">
        <v>107</v>
      </c>
      <c r="AE39" s="235">
        <v>36853</v>
      </c>
      <c r="AF39" s="128">
        <v>0</v>
      </c>
      <c r="AG39" s="235">
        <v>784832</v>
      </c>
      <c r="AH39" s="1764">
        <v>0.5</v>
      </c>
      <c r="AI39" s="238">
        <v>2027111</v>
      </c>
      <c r="AJ39" s="242">
        <v>1.3</v>
      </c>
      <c r="AK39" s="241">
        <v>546277</v>
      </c>
      <c r="AL39" s="136">
        <v>0.3</v>
      </c>
      <c r="AM39" s="241">
        <v>40259748</v>
      </c>
      <c r="AN39" s="1684">
        <v>25.1</v>
      </c>
      <c r="AO39" s="155">
        <v>0</v>
      </c>
      <c r="AP39" s="1707">
        <v>0</v>
      </c>
      <c r="AQ39" s="273">
        <v>11296879</v>
      </c>
      <c r="AR39" s="274">
        <v>7.1</v>
      </c>
      <c r="AS39" s="275">
        <v>507533</v>
      </c>
      <c r="AT39" s="156">
        <v>0.3</v>
      </c>
      <c r="AU39" s="272">
        <v>1023037</v>
      </c>
      <c r="AV39" s="274">
        <v>0.6</v>
      </c>
      <c r="AW39" s="272">
        <v>3763628</v>
      </c>
      <c r="AX39" s="1760">
        <v>2.2999999999999998</v>
      </c>
      <c r="AY39" s="238">
        <v>3130103</v>
      </c>
      <c r="AZ39" s="242">
        <v>2</v>
      </c>
      <c r="BA39" s="241">
        <v>3611030</v>
      </c>
      <c r="BB39" s="242">
        <v>2.2999999999999998</v>
      </c>
      <c r="BC39" s="241">
        <v>7580100</v>
      </c>
      <c r="BD39" s="385">
        <v>4.7</v>
      </c>
      <c r="BE39" s="252">
        <v>160136757</v>
      </c>
      <c r="BF39" s="1677">
        <v>100</v>
      </c>
      <c r="BG39" s="337"/>
    </row>
    <row r="40" spans="1:59" s="327" customFormat="1" ht="15.75" customHeight="1">
      <c r="A40" s="369" t="s">
        <v>208</v>
      </c>
      <c r="B40" s="103">
        <v>51410705</v>
      </c>
      <c r="C40" s="104">
        <v>35</v>
      </c>
      <c r="D40" s="105">
        <v>620647</v>
      </c>
      <c r="E40" s="104">
        <v>0.4</v>
      </c>
      <c r="F40" s="105">
        <v>52008</v>
      </c>
      <c r="G40" s="104">
        <v>0</v>
      </c>
      <c r="H40" s="105">
        <v>434035</v>
      </c>
      <c r="I40" s="104">
        <v>0.3</v>
      </c>
      <c r="J40" s="105">
        <v>310448</v>
      </c>
      <c r="K40" s="1694">
        <v>0.2</v>
      </c>
      <c r="L40" s="103">
        <v>7859955</v>
      </c>
      <c r="M40" s="104">
        <v>5.4</v>
      </c>
      <c r="N40" s="105">
        <v>51336</v>
      </c>
      <c r="O40" s="104">
        <v>0</v>
      </c>
      <c r="P40" s="1723" t="s">
        <v>153</v>
      </c>
      <c r="Q40" s="104" t="s">
        <v>148</v>
      </c>
      <c r="R40" s="1723">
        <v>4460</v>
      </c>
      <c r="S40" s="104">
        <v>0</v>
      </c>
      <c r="T40" s="101">
        <v>133459</v>
      </c>
      <c r="U40" s="99">
        <v>0.1</v>
      </c>
      <c r="V40" s="101">
        <v>657981</v>
      </c>
      <c r="W40" s="1761">
        <v>0.4</v>
      </c>
      <c r="X40" s="100">
        <v>412354</v>
      </c>
      <c r="Y40" s="99">
        <v>0.3</v>
      </c>
      <c r="Z40" s="102">
        <v>14341441</v>
      </c>
      <c r="AA40" s="99">
        <v>9.8000000000000007</v>
      </c>
      <c r="AB40" s="102">
        <v>13665515</v>
      </c>
      <c r="AC40" s="102">
        <v>675926</v>
      </c>
      <c r="AD40" s="101" t="s">
        <v>148</v>
      </c>
      <c r="AE40" s="101">
        <v>36732</v>
      </c>
      <c r="AF40" s="99">
        <v>0</v>
      </c>
      <c r="AG40" s="101">
        <v>1277396</v>
      </c>
      <c r="AH40" s="1761">
        <v>0.9</v>
      </c>
      <c r="AI40" s="103">
        <v>1803340</v>
      </c>
      <c r="AJ40" s="104">
        <v>1.2</v>
      </c>
      <c r="AK40" s="105">
        <v>465048</v>
      </c>
      <c r="AL40" s="104">
        <v>0.3</v>
      </c>
      <c r="AM40" s="105">
        <v>38985462</v>
      </c>
      <c r="AN40" s="1695">
        <v>26.6</v>
      </c>
      <c r="AO40" s="114" t="s">
        <v>148</v>
      </c>
      <c r="AP40" s="1705" t="s">
        <v>148</v>
      </c>
      <c r="AQ40" s="115">
        <v>10352288</v>
      </c>
      <c r="AR40" s="116">
        <v>7.1</v>
      </c>
      <c r="AS40" s="277">
        <v>636932</v>
      </c>
      <c r="AT40" s="116">
        <v>0.4</v>
      </c>
      <c r="AU40" s="114">
        <v>760000</v>
      </c>
      <c r="AV40" s="116">
        <v>0.5</v>
      </c>
      <c r="AW40" s="114">
        <v>3327110</v>
      </c>
      <c r="AX40" s="1705">
        <v>2.2999999999999998</v>
      </c>
      <c r="AY40" s="103">
        <v>4329822</v>
      </c>
      <c r="AZ40" s="104">
        <v>3</v>
      </c>
      <c r="BA40" s="105">
        <v>4163178</v>
      </c>
      <c r="BB40" s="104">
        <v>2.8</v>
      </c>
      <c r="BC40" s="105">
        <v>4313200</v>
      </c>
      <c r="BD40" s="267">
        <v>2.9</v>
      </c>
      <c r="BE40" s="122">
        <v>146739337</v>
      </c>
      <c r="BF40" s="1694">
        <v>100</v>
      </c>
      <c r="BG40" s="337"/>
    </row>
    <row r="41" spans="1:59" s="327" customFormat="1" ht="15.75" customHeight="1">
      <c r="A41" s="230" t="s">
        <v>209</v>
      </c>
      <c r="B41" s="140">
        <v>57912707</v>
      </c>
      <c r="C41" s="136">
        <v>35.4</v>
      </c>
      <c r="D41" s="141">
        <v>640249</v>
      </c>
      <c r="E41" s="136">
        <v>0.4</v>
      </c>
      <c r="F41" s="141">
        <v>56690</v>
      </c>
      <c r="G41" s="136">
        <v>0</v>
      </c>
      <c r="H41" s="141">
        <v>472940</v>
      </c>
      <c r="I41" s="136">
        <v>0.3</v>
      </c>
      <c r="J41" s="141">
        <v>338130</v>
      </c>
      <c r="K41" s="1677">
        <v>0.2</v>
      </c>
      <c r="L41" s="140">
        <v>8905281</v>
      </c>
      <c r="M41" s="136">
        <v>5.4</v>
      </c>
      <c r="N41" s="141">
        <v>79526</v>
      </c>
      <c r="O41" s="136">
        <v>0.1</v>
      </c>
      <c r="P41" s="1713">
        <v>0</v>
      </c>
      <c r="Q41" s="136">
        <v>0</v>
      </c>
      <c r="R41" s="1713">
        <v>4667</v>
      </c>
      <c r="S41" s="136">
        <v>0</v>
      </c>
      <c r="T41" s="129">
        <v>139654</v>
      </c>
      <c r="U41" s="128">
        <v>0.1</v>
      </c>
      <c r="V41" s="129">
        <v>764342</v>
      </c>
      <c r="W41" s="1764">
        <v>0.5</v>
      </c>
      <c r="X41" s="132">
        <v>444843</v>
      </c>
      <c r="Y41" s="128">
        <v>0.3</v>
      </c>
      <c r="Z41" s="144">
        <v>16075066</v>
      </c>
      <c r="AA41" s="128">
        <v>9.8000000000000007</v>
      </c>
      <c r="AB41" s="144">
        <v>15610131</v>
      </c>
      <c r="AC41" s="144">
        <v>464935</v>
      </c>
      <c r="AD41" s="129">
        <v>0</v>
      </c>
      <c r="AE41" s="129">
        <v>48645</v>
      </c>
      <c r="AF41" s="128">
        <v>0</v>
      </c>
      <c r="AG41" s="129">
        <v>489353</v>
      </c>
      <c r="AH41" s="1764">
        <v>0.3</v>
      </c>
      <c r="AI41" s="140">
        <v>1738250</v>
      </c>
      <c r="AJ41" s="136">
        <v>1.1000000000000001</v>
      </c>
      <c r="AK41" s="141">
        <v>490131</v>
      </c>
      <c r="AL41" s="136">
        <v>0.3</v>
      </c>
      <c r="AM41" s="141">
        <v>43916033</v>
      </c>
      <c r="AN41" s="1678">
        <v>26.8</v>
      </c>
      <c r="AO41" s="155">
        <v>0</v>
      </c>
      <c r="AP41" s="1707">
        <v>0</v>
      </c>
      <c r="AQ41" s="268">
        <v>13258080</v>
      </c>
      <c r="AR41" s="156">
        <v>8.1</v>
      </c>
      <c r="AS41" s="154">
        <v>522372</v>
      </c>
      <c r="AT41" s="156">
        <v>0.3</v>
      </c>
      <c r="AU41" s="155">
        <v>214196</v>
      </c>
      <c r="AV41" s="156">
        <v>0.1</v>
      </c>
      <c r="AW41" s="155">
        <v>363908</v>
      </c>
      <c r="AX41" s="1707">
        <v>0.2</v>
      </c>
      <c r="AY41" s="140">
        <v>4059470</v>
      </c>
      <c r="AZ41" s="136">
        <v>2.5</v>
      </c>
      <c r="BA41" s="141">
        <v>2467725</v>
      </c>
      <c r="BB41" s="136">
        <v>1.5</v>
      </c>
      <c r="BC41" s="141">
        <v>10298512</v>
      </c>
      <c r="BD41" s="266">
        <v>6.3</v>
      </c>
      <c r="BE41" s="175">
        <v>163700770</v>
      </c>
      <c r="BF41" s="1677">
        <v>100</v>
      </c>
      <c r="BG41" s="337"/>
    </row>
    <row r="42" spans="1:59" s="327" customFormat="1" ht="15.75" customHeight="1">
      <c r="A42" s="369" t="s">
        <v>273</v>
      </c>
      <c r="B42" s="103">
        <v>40015496</v>
      </c>
      <c r="C42" s="104">
        <v>32.5</v>
      </c>
      <c r="D42" s="105">
        <v>445394</v>
      </c>
      <c r="E42" s="104">
        <v>0.4</v>
      </c>
      <c r="F42" s="105">
        <v>35514</v>
      </c>
      <c r="G42" s="104">
        <v>0</v>
      </c>
      <c r="H42" s="105">
        <v>296407</v>
      </c>
      <c r="I42" s="104">
        <v>0.2</v>
      </c>
      <c r="J42" s="105">
        <v>212026</v>
      </c>
      <c r="K42" s="1694">
        <v>0.2</v>
      </c>
      <c r="L42" s="103">
        <v>6281995</v>
      </c>
      <c r="M42" s="104">
        <v>5.0999999999999996</v>
      </c>
      <c r="N42" s="105">
        <v>0</v>
      </c>
      <c r="O42" s="104">
        <v>0</v>
      </c>
      <c r="P42" s="1723">
        <v>0</v>
      </c>
      <c r="Q42" s="104">
        <v>0</v>
      </c>
      <c r="R42" s="1723">
        <v>3243</v>
      </c>
      <c r="S42" s="104">
        <v>0</v>
      </c>
      <c r="T42" s="101">
        <v>97031</v>
      </c>
      <c r="U42" s="99">
        <v>0.1</v>
      </c>
      <c r="V42" s="101">
        <v>683155</v>
      </c>
      <c r="W42" s="1761">
        <v>0.6</v>
      </c>
      <c r="X42" s="100">
        <v>332892</v>
      </c>
      <c r="Y42" s="99">
        <v>0.3</v>
      </c>
      <c r="Z42" s="102">
        <v>15042229</v>
      </c>
      <c r="AA42" s="99">
        <v>12.2</v>
      </c>
      <c r="AB42" s="102">
        <v>14454487</v>
      </c>
      <c r="AC42" s="102">
        <v>587742</v>
      </c>
      <c r="AD42" s="101">
        <v>0</v>
      </c>
      <c r="AE42" s="101">
        <v>31820</v>
      </c>
      <c r="AF42" s="99">
        <v>0</v>
      </c>
      <c r="AG42" s="101">
        <v>769519</v>
      </c>
      <c r="AH42" s="1761">
        <v>0.6</v>
      </c>
      <c r="AI42" s="103">
        <v>988510</v>
      </c>
      <c r="AJ42" s="104">
        <v>0.8</v>
      </c>
      <c r="AK42" s="105">
        <v>509681</v>
      </c>
      <c r="AL42" s="104">
        <v>0.4</v>
      </c>
      <c r="AM42" s="105">
        <v>36556759</v>
      </c>
      <c r="AN42" s="1695">
        <v>29.7</v>
      </c>
      <c r="AO42" s="114">
        <v>56987</v>
      </c>
      <c r="AP42" s="1705">
        <v>0.1</v>
      </c>
      <c r="AQ42" s="115">
        <v>9761738</v>
      </c>
      <c r="AR42" s="116">
        <v>7.9</v>
      </c>
      <c r="AS42" s="277">
        <v>167595</v>
      </c>
      <c r="AT42" s="116">
        <v>0.1</v>
      </c>
      <c r="AU42" s="114">
        <v>2004261</v>
      </c>
      <c r="AV42" s="116">
        <v>1.6</v>
      </c>
      <c r="AW42" s="114">
        <v>308559</v>
      </c>
      <c r="AX42" s="1705">
        <v>0.3</v>
      </c>
      <c r="AY42" s="103">
        <v>877677</v>
      </c>
      <c r="AZ42" s="104">
        <v>0.7</v>
      </c>
      <c r="BA42" s="105">
        <v>1457801</v>
      </c>
      <c r="BB42" s="104">
        <v>1.2</v>
      </c>
      <c r="BC42" s="105">
        <v>6184039</v>
      </c>
      <c r="BD42" s="267">
        <v>5</v>
      </c>
      <c r="BE42" s="122">
        <v>123120328</v>
      </c>
      <c r="BF42" s="1694">
        <v>100</v>
      </c>
      <c r="BG42" s="337"/>
    </row>
    <row r="43" spans="1:59" s="327" customFormat="1" ht="15.75" customHeight="1">
      <c r="A43" s="230" t="s">
        <v>274</v>
      </c>
      <c r="B43" s="140">
        <v>29450105</v>
      </c>
      <c r="C43" s="136">
        <v>27.6</v>
      </c>
      <c r="D43" s="141">
        <v>344182</v>
      </c>
      <c r="E43" s="136">
        <v>0.3</v>
      </c>
      <c r="F43" s="141">
        <v>28508</v>
      </c>
      <c r="G43" s="136">
        <v>0</v>
      </c>
      <c r="H43" s="141">
        <v>237730</v>
      </c>
      <c r="I43" s="136">
        <v>0.2</v>
      </c>
      <c r="J43" s="141">
        <v>169879</v>
      </c>
      <c r="K43" s="1677">
        <v>0.2</v>
      </c>
      <c r="L43" s="140">
        <v>5154901</v>
      </c>
      <c r="M43" s="136">
        <v>4.8</v>
      </c>
      <c r="N43" s="141" t="s">
        <v>148</v>
      </c>
      <c r="O43" s="136" t="s">
        <v>148</v>
      </c>
      <c r="P43" s="1713" t="s">
        <v>148</v>
      </c>
      <c r="Q43" s="136" t="s">
        <v>148</v>
      </c>
      <c r="R43" s="1713">
        <v>2495</v>
      </c>
      <c r="S43" s="136">
        <v>0</v>
      </c>
      <c r="T43" s="129">
        <v>74645</v>
      </c>
      <c r="U43" s="128">
        <v>0.1</v>
      </c>
      <c r="V43" s="129">
        <v>411009</v>
      </c>
      <c r="W43" s="1764">
        <v>0.4</v>
      </c>
      <c r="X43" s="132">
        <v>220814</v>
      </c>
      <c r="Y43" s="128">
        <v>0.2</v>
      </c>
      <c r="Z43" s="144">
        <v>15470982</v>
      </c>
      <c r="AA43" s="128">
        <v>14.5</v>
      </c>
      <c r="AB43" s="144">
        <v>14887222</v>
      </c>
      <c r="AC43" s="144">
        <v>583760</v>
      </c>
      <c r="AD43" s="129" t="s">
        <v>148</v>
      </c>
      <c r="AE43" s="129">
        <v>30365</v>
      </c>
      <c r="AF43" s="128">
        <v>0</v>
      </c>
      <c r="AG43" s="129">
        <v>378003</v>
      </c>
      <c r="AH43" s="1764">
        <v>0.4</v>
      </c>
      <c r="AI43" s="140">
        <v>548652</v>
      </c>
      <c r="AJ43" s="136">
        <v>0.5</v>
      </c>
      <c r="AK43" s="141">
        <v>293635</v>
      </c>
      <c r="AL43" s="136">
        <v>0.3</v>
      </c>
      <c r="AM43" s="141">
        <v>33621013</v>
      </c>
      <c r="AN43" s="1678">
        <v>31.5</v>
      </c>
      <c r="AO43" s="155" t="s">
        <v>148</v>
      </c>
      <c r="AP43" s="1707" t="s">
        <v>148</v>
      </c>
      <c r="AQ43" s="268">
        <v>9610781</v>
      </c>
      <c r="AR43" s="156">
        <v>9</v>
      </c>
      <c r="AS43" s="154">
        <v>120057</v>
      </c>
      <c r="AT43" s="156">
        <v>0.1</v>
      </c>
      <c r="AU43" s="155">
        <v>100218</v>
      </c>
      <c r="AV43" s="156">
        <v>0.1</v>
      </c>
      <c r="AW43" s="155">
        <v>2836477</v>
      </c>
      <c r="AX43" s="1707">
        <v>2.7</v>
      </c>
      <c r="AY43" s="140">
        <v>1282828</v>
      </c>
      <c r="AZ43" s="136">
        <v>1.2</v>
      </c>
      <c r="BA43" s="141">
        <v>1483683</v>
      </c>
      <c r="BB43" s="136">
        <v>1.4</v>
      </c>
      <c r="BC43" s="141">
        <v>4841700</v>
      </c>
      <c r="BD43" s="266">
        <v>4.5</v>
      </c>
      <c r="BE43" s="175">
        <v>106712662</v>
      </c>
      <c r="BF43" s="1677">
        <v>100</v>
      </c>
      <c r="BG43" s="337"/>
    </row>
    <row r="44" spans="1:59" s="327" customFormat="1" ht="15.75" customHeight="1">
      <c r="A44" s="369" t="s">
        <v>215</v>
      </c>
      <c r="B44" s="103">
        <v>79506234</v>
      </c>
      <c r="C44" s="104">
        <v>34.299999999999997</v>
      </c>
      <c r="D44" s="105">
        <v>803662</v>
      </c>
      <c r="E44" s="104">
        <v>0.4</v>
      </c>
      <c r="F44" s="105">
        <v>63870</v>
      </c>
      <c r="G44" s="104">
        <v>0</v>
      </c>
      <c r="H44" s="105">
        <v>534146</v>
      </c>
      <c r="I44" s="104">
        <v>0.2</v>
      </c>
      <c r="J44" s="105">
        <v>383001</v>
      </c>
      <c r="K44" s="1694">
        <v>0.2</v>
      </c>
      <c r="L44" s="103">
        <v>11967084</v>
      </c>
      <c r="M44" s="104">
        <v>5.2</v>
      </c>
      <c r="N44" s="105" t="s">
        <v>148</v>
      </c>
      <c r="O44" s="104" t="s">
        <v>148</v>
      </c>
      <c r="P44" s="1723" t="s">
        <v>148</v>
      </c>
      <c r="Q44" s="104" t="s">
        <v>148</v>
      </c>
      <c r="R44" s="1723">
        <v>5852</v>
      </c>
      <c r="S44" s="104">
        <v>0</v>
      </c>
      <c r="T44" s="101">
        <v>175120</v>
      </c>
      <c r="U44" s="99">
        <v>0.1</v>
      </c>
      <c r="V44" s="101">
        <v>1424096</v>
      </c>
      <c r="W44" s="1761">
        <v>0.6</v>
      </c>
      <c r="X44" s="100">
        <v>491545</v>
      </c>
      <c r="Y44" s="99">
        <v>0.2</v>
      </c>
      <c r="Z44" s="102">
        <v>24296521</v>
      </c>
      <c r="AA44" s="99">
        <v>10.5</v>
      </c>
      <c r="AB44" s="102">
        <v>23576430</v>
      </c>
      <c r="AC44" s="102">
        <v>720091</v>
      </c>
      <c r="AD44" s="101" t="s">
        <v>148</v>
      </c>
      <c r="AE44" s="101">
        <v>64643</v>
      </c>
      <c r="AF44" s="99">
        <v>0</v>
      </c>
      <c r="AG44" s="101">
        <v>1651937</v>
      </c>
      <c r="AH44" s="1761">
        <v>0.7</v>
      </c>
      <c r="AI44" s="103">
        <v>1709630</v>
      </c>
      <c r="AJ44" s="104">
        <v>0.7</v>
      </c>
      <c r="AK44" s="105">
        <v>350197</v>
      </c>
      <c r="AL44" s="104">
        <v>0.2</v>
      </c>
      <c r="AM44" s="105">
        <v>69117622</v>
      </c>
      <c r="AN44" s="1695">
        <v>29.8</v>
      </c>
      <c r="AO44" s="114" t="s">
        <v>148</v>
      </c>
      <c r="AP44" s="1705" t="s">
        <v>148</v>
      </c>
      <c r="AQ44" s="115">
        <v>16773820</v>
      </c>
      <c r="AR44" s="116">
        <v>7.2</v>
      </c>
      <c r="AS44" s="277">
        <v>3478294</v>
      </c>
      <c r="AT44" s="116">
        <v>1.5</v>
      </c>
      <c r="AU44" s="114">
        <v>329108</v>
      </c>
      <c r="AV44" s="116">
        <v>0.1</v>
      </c>
      <c r="AW44" s="114">
        <v>2163401</v>
      </c>
      <c r="AX44" s="1705">
        <v>0.9</v>
      </c>
      <c r="AY44" s="103">
        <v>3546790</v>
      </c>
      <c r="AZ44" s="104">
        <v>1.5</v>
      </c>
      <c r="BA44" s="105">
        <v>2557178</v>
      </c>
      <c r="BB44" s="104">
        <v>1.1000000000000001</v>
      </c>
      <c r="BC44" s="105">
        <v>10708800</v>
      </c>
      <c r="BD44" s="267">
        <v>4.5999999999999996</v>
      </c>
      <c r="BE44" s="122">
        <v>232102551</v>
      </c>
      <c r="BF44" s="1694">
        <v>100</v>
      </c>
      <c r="BG44" s="337"/>
    </row>
    <row r="45" spans="1:59" s="327" customFormat="1" ht="15.75" customHeight="1">
      <c r="A45" s="230" t="s">
        <v>216</v>
      </c>
      <c r="B45" s="140">
        <v>99073528</v>
      </c>
      <c r="C45" s="136">
        <v>41.3</v>
      </c>
      <c r="D45" s="141">
        <v>1493027</v>
      </c>
      <c r="E45" s="136">
        <v>0.6</v>
      </c>
      <c r="F45" s="141">
        <v>45462</v>
      </c>
      <c r="G45" s="136">
        <v>0</v>
      </c>
      <c r="H45" s="141">
        <v>673672</v>
      </c>
      <c r="I45" s="136">
        <v>0.3</v>
      </c>
      <c r="J45" s="141">
        <v>481685</v>
      </c>
      <c r="K45" s="1677">
        <v>0.2</v>
      </c>
      <c r="L45" s="140">
        <v>12919282</v>
      </c>
      <c r="M45" s="136">
        <v>5.4</v>
      </c>
      <c r="N45" s="141">
        <v>53472</v>
      </c>
      <c r="O45" s="136">
        <v>0</v>
      </c>
      <c r="P45" s="1713" t="s">
        <v>148</v>
      </c>
      <c r="Q45" s="136" t="s">
        <v>148</v>
      </c>
      <c r="R45" s="1713">
        <v>3771</v>
      </c>
      <c r="S45" s="136">
        <v>0</v>
      </c>
      <c r="T45" s="129">
        <v>242020</v>
      </c>
      <c r="U45" s="128">
        <v>0.1</v>
      </c>
      <c r="V45" s="129">
        <v>1405673</v>
      </c>
      <c r="W45" s="1764">
        <v>0.6</v>
      </c>
      <c r="X45" s="132">
        <v>689264</v>
      </c>
      <c r="Y45" s="128">
        <v>0.3</v>
      </c>
      <c r="Z45" s="144">
        <v>15359899</v>
      </c>
      <c r="AA45" s="128">
        <v>6.4</v>
      </c>
      <c r="AB45" s="144">
        <v>13925258</v>
      </c>
      <c r="AC45" s="144">
        <v>1434641</v>
      </c>
      <c r="AD45" s="129" t="s">
        <v>148</v>
      </c>
      <c r="AE45" s="129">
        <v>86222</v>
      </c>
      <c r="AF45" s="128">
        <v>0</v>
      </c>
      <c r="AG45" s="129">
        <v>1151472</v>
      </c>
      <c r="AH45" s="1764">
        <v>0.5</v>
      </c>
      <c r="AI45" s="140">
        <v>4906390</v>
      </c>
      <c r="AJ45" s="136">
        <v>2.1</v>
      </c>
      <c r="AK45" s="141">
        <v>986353</v>
      </c>
      <c r="AL45" s="136">
        <v>0.4</v>
      </c>
      <c r="AM45" s="141">
        <v>57102146</v>
      </c>
      <c r="AN45" s="1678">
        <v>23.8</v>
      </c>
      <c r="AO45" s="155">
        <v>6973</v>
      </c>
      <c r="AP45" s="1707">
        <v>0</v>
      </c>
      <c r="AQ45" s="268">
        <v>14899801</v>
      </c>
      <c r="AR45" s="156">
        <v>6.2</v>
      </c>
      <c r="AS45" s="154">
        <v>1017382</v>
      </c>
      <c r="AT45" s="156">
        <v>0.4</v>
      </c>
      <c r="AU45" s="155">
        <v>641687</v>
      </c>
      <c r="AV45" s="156">
        <v>0.3</v>
      </c>
      <c r="AW45" s="155">
        <v>893527</v>
      </c>
      <c r="AX45" s="1707">
        <v>0.4</v>
      </c>
      <c r="AY45" s="140">
        <v>9369182</v>
      </c>
      <c r="AZ45" s="136">
        <v>3.9</v>
      </c>
      <c r="BA45" s="141">
        <v>5659344</v>
      </c>
      <c r="BB45" s="136">
        <v>2.4</v>
      </c>
      <c r="BC45" s="141">
        <v>10578300</v>
      </c>
      <c r="BD45" s="266">
        <v>4.4000000000000004</v>
      </c>
      <c r="BE45" s="175">
        <v>239739534</v>
      </c>
      <c r="BF45" s="1677">
        <v>100</v>
      </c>
      <c r="BG45" s="337"/>
    </row>
    <row r="46" spans="1:59" s="327" customFormat="1" ht="15.75" customHeight="1">
      <c r="A46" s="369" t="s">
        <v>218</v>
      </c>
      <c r="B46" s="75">
        <v>82597797</v>
      </c>
      <c r="C46" s="74">
        <v>36.299999999999997</v>
      </c>
      <c r="D46" s="76">
        <v>809866</v>
      </c>
      <c r="E46" s="74">
        <v>0.4</v>
      </c>
      <c r="F46" s="76">
        <v>38635</v>
      </c>
      <c r="G46" s="74">
        <v>0</v>
      </c>
      <c r="H46" s="76">
        <v>573449</v>
      </c>
      <c r="I46" s="74">
        <v>0.3</v>
      </c>
      <c r="J46" s="76">
        <v>410977</v>
      </c>
      <c r="K46" s="1686">
        <v>0.2</v>
      </c>
      <c r="L46" s="75">
        <v>10911528</v>
      </c>
      <c r="M46" s="74">
        <v>4.8</v>
      </c>
      <c r="N46" s="76">
        <v>0</v>
      </c>
      <c r="O46" s="74">
        <v>0</v>
      </c>
      <c r="P46" s="1726">
        <v>0</v>
      </c>
      <c r="Q46" s="74">
        <v>0</v>
      </c>
      <c r="R46" s="1726">
        <v>2168</v>
      </c>
      <c r="S46" s="74">
        <v>0</v>
      </c>
      <c r="T46" s="77">
        <v>139120</v>
      </c>
      <c r="U46" s="72">
        <v>0.1</v>
      </c>
      <c r="V46" s="77">
        <v>1177451</v>
      </c>
      <c r="W46" s="1763">
        <v>0.5</v>
      </c>
      <c r="X46" s="73">
        <v>525275</v>
      </c>
      <c r="Y46" s="72">
        <v>0.2</v>
      </c>
      <c r="Z46" s="78">
        <v>15658743</v>
      </c>
      <c r="AA46" s="72">
        <v>6.9</v>
      </c>
      <c r="AB46" s="78">
        <v>15471198</v>
      </c>
      <c r="AC46" s="78">
        <v>187545</v>
      </c>
      <c r="AD46" s="77">
        <v>0</v>
      </c>
      <c r="AE46" s="77">
        <v>56935</v>
      </c>
      <c r="AF46" s="72">
        <v>0</v>
      </c>
      <c r="AG46" s="77">
        <v>934393</v>
      </c>
      <c r="AH46" s="1763">
        <v>0.4</v>
      </c>
      <c r="AI46" s="75">
        <v>5948675</v>
      </c>
      <c r="AJ46" s="74">
        <v>2.6</v>
      </c>
      <c r="AK46" s="76">
        <v>379471</v>
      </c>
      <c r="AL46" s="74">
        <v>0.2</v>
      </c>
      <c r="AM46" s="76">
        <v>63528111</v>
      </c>
      <c r="AN46" s="1687">
        <v>28</v>
      </c>
      <c r="AO46" s="187">
        <v>0</v>
      </c>
      <c r="AP46" s="1702">
        <v>0</v>
      </c>
      <c r="AQ46" s="269">
        <v>15095537</v>
      </c>
      <c r="AR46" s="270">
        <v>6.6</v>
      </c>
      <c r="AS46" s="276">
        <v>3479896</v>
      </c>
      <c r="AT46" s="270">
        <v>1.5</v>
      </c>
      <c r="AU46" s="187">
        <v>582391</v>
      </c>
      <c r="AV46" s="270">
        <v>0.3</v>
      </c>
      <c r="AW46" s="187">
        <v>3950650</v>
      </c>
      <c r="AX46" s="1702">
        <v>1.7</v>
      </c>
      <c r="AY46" s="75">
        <v>3503021</v>
      </c>
      <c r="AZ46" s="74">
        <v>1.5</v>
      </c>
      <c r="BA46" s="76">
        <v>9849715</v>
      </c>
      <c r="BB46" s="74">
        <v>4.3</v>
      </c>
      <c r="BC46" s="76">
        <v>7200777</v>
      </c>
      <c r="BD46" s="278">
        <v>3.2</v>
      </c>
      <c r="BE46" s="188">
        <v>227354581</v>
      </c>
      <c r="BF46" s="1694">
        <v>100</v>
      </c>
      <c r="BG46" s="337"/>
    </row>
    <row r="47" spans="1:59" s="327" customFormat="1" ht="15.75" customHeight="1">
      <c r="A47" s="230" t="s">
        <v>275</v>
      </c>
      <c r="B47" s="140">
        <v>44706689</v>
      </c>
      <c r="C47" s="136">
        <v>35</v>
      </c>
      <c r="D47" s="141">
        <v>528800</v>
      </c>
      <c r="E47" s="136">
        <v>0.4</v>
      </c>
      <c r="F47" s="141">
        <v>25535</v>
      </c>
      <c r="G47" s="136">
        <v>0</v>
      </c>
      <c r="H47" s="141">
        <v>378483</v>
      </c>
      <c r="I47" s="136">
        <v>0.3</v>
      </c>
      <c r="J47" s="141">
        <v>270716</v>
      </c>
      <c r="K47" s="1677">
        <v>0.2</v>
      </c>
      <c r="L47" s="140">
        <v>6836005</v>
      </c>
      <c r="M47" s="136">
        <v>5.3</v>
      </c>
      <c r="N47" s="141" t="s">
        <v>153</v>
      </c>
      <c r="O47" s="136" t="s">
        <v>153</v>
      </c>
      <c r="P47" s="1713" t="s">
        <v>153</v>
      </c>
      <c r="Q47" s="136" t="s">
        <v>153</v>
      </c>
      <c r="R47" s="1713">
        <v>1404</v>
      </c>
      <c r="S47" s="136">
        <v>0</v>
      </c>
      <c r="T47" s="129">
        <v>90154</v>
      </c>
      <c r="U47" s="128">
        <v>0.1</v>
      </c>
      <c r="V47" s="129">
        <v>548441</v>
      </c>
      <c r="W47" s="1764">
        <v>0.4</v>
      </c>
      <c r="X47" s="132">
        <v>452196</v>
      </c>
      <c r="Y47" s="128">
        <v>0.4</v>
      </c>
      <c r="Z47" s="144">
        <v>15008290</v>
      </c>
      <c r="AA47" s="128">
        <v>11.7</v>
      </c>
      <c r="AB47" s="144">
        <v>14630901</v>
      </c>
      <c r="AC47" s="144">
        <v>377389</v>
      </c>
      <c r="AD47" s="235" t="s">
        <v>153</v>
      </c>
      <c r="AE47" s="129">
        <v>38511</v>
      </c>
      <c r="AF47" s="128">
        <v>0</v>
      </c>
      <c r="AG47" s="129">
        <v>370704</v>
      </c>
      <c r="AH47" s="1764">
        <v>0.3</v>
      </c>
      <c r="AI47" s="140">
        <v>1786810</v>
      </c>
      <c r="AJ47" s="136">
        <v>1.3978212322756274</v>
      </c>
      <c r="AK47" s="141">
        <v>458223</v>
      </c>
      <c r="AL47" s="136">
        <v>0.35846779373130599</v>
      </c>
      <c r="AM47" s="141">
        <v>32783608</v>
      </c>
      <c r="AN47" s="1678">
        <v>25.646612305170173</v>
      </c>
      <c r="AO47" s="155" t="s">
        <v>153</v>
      </c>
      <c r="AP47" s="1707" t="s">
        <v>153</v>
      </c>
      <c r="AQ47" s="268">
        <v>8801735</v>
      </c>
      <c r="AR47" s="156">
        <v>6.8855961539634984</v>
      </c>
      <c r="AS47" s="154">
        <v>451465</v>
      </c>
      <c r="AT47" s="156">
        <v>0.4</v>
      </c>
      <c r="AU47" s="155">
        <v>828973</v>
      </c>
      <c r="AV47" s="156">
        <v>0.6</v>
      </c>
      <c r="AW47" s="155">
        <v>1160448</v>
      </c>
      <c r="AX47" s="1707">
        <v>0.9</v>
      </c>
      <c r="AY47" s="140">
        <v>2524089</v>
      </c>
      <c r="AZ47" s="136">
        <v>2</v>
      </c>
      <c r="BA47" s="141">
        <v>1973892</v>
      </c>
      <c r="BB47" s="136">
        <v>1.5</v>
      </c>
      <c r="BC47" s="141">
        <v>7803049</v>
      </c>
      <c r="BD47" s="266">
        <v>6.1</v>
      </c>
      <c r="BE47" s="175">
        <v>127828220</v>
      </c>
      <c r="BF47" s="1677">
        <v>100</v>
      </c>
      <c r="BG47" s="337"/>
    </row>
    <row r="48" spans="1:59" s="327" customFormat="1" ht="15.75" customHeight="1">
      <c r="A48" s="369" t="s">
        <v>220</v>
      </c>
      <c r="B48" s="103">
        <v>91169786</v>
      </c>
      <c r="C48" s="104">
        <v>45.3</v>
      </c>
      <c r="D48" s="105">
        <v>871578</v>
      </c>
      <c r="E48" s="104">
        <v>0.4</v>
      </c>
      <c r="F48" s="105">
        <v>60112</v>
      </c>
      <c r="G48" s="104">
        <v>0</v>
      </c>
      <c r="H48" s="105">
        <v>889045</v>
      </c>
      <c r="I48" s="104">
        <v>0.4</v>
      </c>
      <c r="J48" s="105">
        <v>633962</v>
      </c>
      <c r="K48" s="1694">
        <v>0.3</v>
      </c>
      <c r="L48" s="103">
        <v>10805599</v>
      </c>
      <c r="M48" s="104">
        <v>5.4</v>
      </c>
      <c r="N48" s="105">
        <v>146064</v>
      </c>
      <c r="O48" s="104">
        <v>0.1</v>
      </c>
      <c r="P48" s="1723" t="s">
        <v>153</v>
      </c>
      <c r="Q48" s="104" t="s">
        <v>153</v>
      </c>
      <c r="R48" s="1723">
        <v>2432</v>
      </c>
      <c r="S48" s="104">
        <v>0</v>
      </c>
      <c r="T48" s="101">
        <v>156068</v>
      </c>
      <c r="U48" s="99">
        <v>0.1</v>
      </c>
      <c r="V48" s="101">
        <v>790385</v>
      </c>
      <c r="W48" s="1761">
        <v>0.4</v>
      </c>
      <c r="X48" s="100">
        <v>433526</v>
      </c>
      <c r="Y48" s="99">
        <v>0.21</v>
      </c>
      <c r="Z48" s="102">
        <v>5121406</v>
      </c>
      <c r="AA48" s="99">
        <v>2.6</v>
      </c>
      <c r="AB48" s="102">
        <v>4688690</v>
      </c>
      <c r="AC48" s="102">
        <v>432716</v>
      </c>
      <c r="AD48" s="101" t="s">
        <v>153</v>
      </c>
      <c r="AE48" s="101">
        <v>51772</v>
      </c>
      <c r="AF48" s="99">
        <v>0</v>
      </c>
      <c r="AG48" s="101">
        <v>544344</v>
      </c>
      <c r="AH48" s="1761">
        <v>0.3</v>
      </c>
      <c r="AI48" s="103">
        <v>5890473</v>
      </c>
      <c r="AJ48" s="104">
        <v>2.9</v>
      </c>
      <c r="AK48" s="105">
        <v>808353</v>
      </c>
      <c r="AL48" s="104">
        <v>0.4</v>
      </c>
      <c r="AM48" s="105">
        <v>46116442</v>
      </c>
      <c r="AN48" s="1695">
        <v>22.9</v>
      </c>
      <c r="AO48" s="114" t="s">
        <v>153</v>
      </c>
      <c r="AP48" s="1705" t="s">
        <v>153</v>
      </c>
      <c r="AQ48" s="115">
        <v>13645737</v>
      </c>
      <c r="AR48" s="116">
        <v>6.8</v>
      </c>
      <c r="AS48" s="277">
        <v>705894</v>
      </c>
      <c r="AT48" s="116">
        <v>0.4</v>
      </c>
      <c r="AU48" s="114">
        <v>362278</v>
      </c>
      <c r="AV48" s="116">
        <v>0.2</v>
      </c>
      <c r="AW48" s="114">
        <v>3098881</v>
      </c>
      <c r="AX48" s="1705">
        <v>1.5</v>
      </c>
      <c r="AY48" s="103">
        <v>5564105</v>
      </c>
      <c r="AZ48" s="104">
        <v>2.8</v>
      </c>
      <c r="BA48" s="105">
        <v>3754399</v>
      </c>
      <c r="BB48" s="104">
        <v>1.9</v>
      </c>
      <c r="BC48" s="105">
        <v>9444900</v>
      </c>
      <c r="BD48" s="267">
        <v>4.7</v>
      </c>
      <c r="BE48" s="122">
        <v>201067541</v>
      </c>
      <c r="BF48" s="1694">
        <v>100</v>
      </c>
      <c r="BG48" s="337"/>
    </row>
    <row r="49" spans="1:59" s="327" customFormat="1" ht="15.75" customHeight="1">
      <c r="A49" s="230" t="s">
        <v>221</v>
      </c>
      <c r="B49" s="238">
        <v>52433832</v>
      </c>
      <c r="C49" s="242">
        <v>33.6</v>
      </c>
      <c r="D49" s="241">
        <v>830365</v>
      </c>
      <c r="E49" s="242">
        <v>0.5</v>
      </c>
      <c r="F49" s="241">
        <v>29848</v>
      </c>
      <c r="G49" s="242">
        <v>0</v>
      </c>
      <c r="H49" s="241">
        <v>632512</v>
      </c>
      <c r="I49" s="242">
        <v>0.4</v>
      </c>
      <c r="J49" s="241">
        <v>442469</v>
      </c>
      <c r="K49" s="1683">
        <v>0.3</v>
      </c>
      <c r="L49" s="238">
        <v>7914973</v>
      </c>
      <c r="M49" s="242">
        <v>5.0999999999999996</v>
      </c>
      <c r="N49" s="241">
        <v>273503</v>
      </c>
      <c r="O49" s="242">
        <v>0.2</v>
      </c>
      <c r="P49" s="1720" t="s">
        <v>148</v>
      </c>
      <c r="Q49" s="242" t="s">
        <v>148</v>
      </c>
      <c r="R49" s="1720">
        <v>4229</v>
      </c>
      <c r="S49" s="242">
        <v>0</v>
      </c>
      <c r="T49" s="235">
        <v>115184</v>
      </c>
      <c r="U49" s="232">
        <v>0.1</v>
      </c>
      <c r="V49" s="235">
        <v>524877</v>
      </c>
      <c r="W49" s="1759">
        <v>0.3</v>
      </c>
      <c r="X49" s="233">
        <v>318742</v>
      </c>
      <c r="Y49" s="232">
        <v>0.2</v>
      </c>
      <c r="Z49" s="240">
        <v>19838032</v>
      </c>
      <c r="AA49" s="232">
        <v>12.7</v>
      </c>
      <c r="AB49" s="240">
        <v>19040852</v>
      </c>
      <c r="AC49" s="240">
        <v>789256</v>
      </c>
      <c r="AD49" s="235">
        <v>7924</v>
      </c>
      <c r="AE49" s="235">
        <v>38576</v>
      </c>
      <c r="AF49" s="232">
        <v>0</v>
      </c>
      <c r="AG49" s="235">
        <v>510925</v>
      </c>
      <c r="AH49" s="1759">
        <v>0.3</v>
      </c>
      <c r="AI49" s="238">
        <v>1902323</v>
      </c>
      <c r="AJ49" s="242">
        <v>1.2</v>
      </c>
      <c r="AK49" s="241">
        <v>690870</v>
      </c>
      <c r="AL49" s="242">
        <v>0.4</v>
      </c>
      <c r="AM49" s="241">
        <v>40716666</v>
      </c>
      <c r="AN49" s="1684">
        <v>26.1</v>
      </c>
      <c r="AO49" s="272">
        <v>3015</v>
      </c>
      <c r="AP49" s="1760">
        <v>0</v>
      </c>
      <c r="AQ49" s="273">
        <v>9812869</v>
      </c>
      <c r="AR49" s="274">
        <v>6.3</v>
      </c>
      <c r="AS49" s="275">
        <v>440409</v>
      </c>
      <c r="AT49" s="274">
        <v>0.3</v>
      </c>
      <c r="AU49" s="272">
        <v>447503</v>
      </c>
      <c r="AV49" s="274">
        <v>0.3</v>
      </c>
      <c r="AW49" s="272">
        <v>5044387</v>
      </c>
      <c r="AX49" s="1760">
        <v>3.2</v>
      </c>
      <c r="AY49" s="238">
        <v>3350119</v>
      </c>
      <c r="AZ49" s="242">
        <v>2.2000000000000002</v>
      </c>
      <c r="BA49" s="241">
        <v>2674367</v>
      </c>
      <c r="BB49" s="242">
        <v>1.7</v>
      </c>
      <c r="BC49" s="241">
        <v>7236000</v>
      </c>
      <c r="BD49" s="385">
        <v>4.5999999999999996</v>
      </c>
      <c r="BE49" s="252">
        <v>156226595</v>
      </c>
      <c r="BF49" s="1683">
        <v>100</v>
      </c>
      <c r="BG49" s="337"/>
    </row>
    <row r="50" spans="1:59" s="327" customFormat="1" ht="15.75" customHeight="1">
      <c r="A50" s="369" t="s">
        <v>223</v>
      </c>
      <c r="B50" s="75">
        <v>58993622</v>
      </c>
      <c r="C50" s="74">
        <v>35.299999999999997</v>
      </c>
      <c r="D50" s="76">
        <v>842136</v>
      </c>
      <c r="E50" s="74">
        <v>0.5</v>
      </c>
      <c r="F50" s="76">
        <v>27017</v>
      </c>
      <c r="G50" s="74">
        <v>0</v>
      </c>
      <c r="H50" s="76">
        <v>385766</v>
      </c>
      <c r="I50" s="74">
        <v>0.2</v>
      </c>
      <c r="J50" s="76">
        <v>275220</v>
      </c>
      <c r="K50" s="1686">
        <v>0.2</v>
      </c>
      <c r="L50" s="75">
        <v>8905493</v>
      </c>
      <c r="M50" s="74">
        <v>5.3</v>
      </c>
      <c r="N50" s="76">
        <v>15602</v>
      </c>
      <c r="O50" s="74">
        <v>0</v>
      </c>
      <c r="P50" s="1726">
        <v>0</v>
      </c>
      <c r="Q50" s="74">
        <v>0</v>
      </c>
      <c r="R50" s="1726">
        <v>0</v>
      </c>
      <c r="S50" s="74">
        <v>0</v>
      </c>
      <c r="T50" s="77">
        <v>73585</v>
      </c>
      <c r="U50" s="72">
        <v>0.1</v>
      </c>
      <c r="V50" s="77">
        <v>809808</v>
      </c>
      <c r="W50" s="1763">
        <v>0.5</v>
      </c>
      <c r="X50" s="73">
        <v>415976</v>
      </c>
      <c r="Y50" s="72">
        <v>0.3</v>
      </c>
      <c r="Z50" s="78">
        <v>15012772</v>
      </c>
      <c r="AA50" s="72">
        <v>9</v>
      </c>
      <c r="AB50" s="78">
        <v>14170317</v>
      </c>
      <c r="AC50" s="78">
        <v>842455</v>
      </c>
      <c r="AD50" s="77">
        <v>0</v>
      </c>
      <c r="AE50" s="77">
        <v>41612</v>
      </c>
      <c r="AF50" s="72">
        <v>0</v>
      </c>
      <c r="AG50" s="77">
        <v>339280</v>
      </c>
      <c r="AH50" s="1763">
        <v>0.2</v>
      </c>
      <c r="AI50" s="75">
        <v>1741211</v>
      </c>
      <c r="AJ50" s="74">
        <v>1.1000000000000001</v>
      </c>
      <c r="AK50" s="76">
        <v>693168</v>
      </c>
      <c r="AL50" s="74">
        <v>0.4</v>
      </c>
      <c r="AM50" s="76">
        <v>45392993</v>
      </c>
      <c r="AN50" s="1687">
        <v>27.2</v>
      </c>
      <c r="AO50" s="187">
        <v>0</v>
      </c>
      <c r="AP50" s="1702">
        <v>0</v>
      </c>
      <c r="AQ50" s="269">
        <v>11571737</v>
      </c>
      <c r="AR50" s="270">
        <v>6.9</v>
      </c>
      <c r="AS50" s="276">
        <v>1054767</v>
      </c>
      <c r="AT50" s="270">
        <v>0.6</v>
      </c>
      <c r="AU50" s="187">
        <v>2185179</v>
      </c>
      <c r="AV50" s="270">
        <v>1.3</v>
      </c>
      <c r="AW50" s="187">
        <v>342126</v>
      </c>
      <c r="AX50" s="1702">
        <v>0.2</v>
      </c>
      <c r="AY50" s="75">
        <v>6026194</v>
      </c>
      <c r="AZ50" s="74">
        <v>3.6</v>
      </c>
      <c r="BA50" s="76">
        <v>2435756</v>
      </c>
      <c r="BB50" s="74">
        <v>1.5</v>
      </c>
      <c r="BC50" s="76">
        <v>9381800</v>
      </c>
      <c r="BD50" s="278">
        <v>5.6</v>
      </c>
      <c r="BE50" s="188">
        <v>166962820</v>
      </c>
      <c r="BF50" s="1694">
        <v>100</v>
      </c>
      <c r="BG50" s="337"/>
    </row>
    <row r="51" spans="1:59" s="327" customFormat="1" ht="15.75" customHeight="1">
      <c r="A51" s="230" t="s">
        <v>276</v>
      </c>
      <c r="B51" s="238">
        <v>24069355</v>
      </c>
      <c r="C51" s="242">
        <v>20.9</v>
      </c>
      <c r="D51" s="241">
        <v>695622</v>
      </c>
      <c r="E51" s="242">
        <v>0.6</v>
      </c>
      <c r="F51" s="241">
        <v>13846</v>
      </c>
      <c r="G51" s="242">
        <v>0</v>
      </c>
      <c r="H51" s="241">
        <v>108239</v>
      </c>
      <c r="I51" s="242">
        <v>0.1</v>
      </c>
      <c r="J51" s="241">
        <v>86147</v>
      </c>
      <c r="K51" s="1683">
        <v>0.1</v>
      </c>
      <c r="L51" s="238">
        <v>4718627</v>
      </c>
      <c r="M51" s="242">
        <v>4.0999999999999996</v>
      </c>
      <c r="N51" s="241">
        <v>22148</v>
      </c>
      <c r="O51" s="242">
        <v>0</v>
      </c>
      <c r="P51" s="1720">
        <v>0</v>
      </c>
      <c r="Q51" s="242">
        <v>0</v>
      </c>
      <c r="R51" s="1720">
        <v>29</v>
      </c>
      <c r="S51" s="242">
        <v>0</v>
      </c>
      <c r="T51" s="235">
        <v>53933</v>
      </c>
      <c r="U51" s="232">
        <v>0</v>
      </c>
      <c r="V51" s="235">
        <v>365635</v>
      </c>
      <c r="W51" s="1759">
        <v>0.3</v>
      </c>
      <c r="X51" s="233">
        <v>194422</v>
      </c>
      <c r="Y51" s="232">
        <v>0.2</v>
      </c>
      <c r="Z51" s="240">
        <v>23987287</v>
      </c>
      <c r="AA51" s="232">
        <v>20.8</v>
      </c>
      <c r="AB51" s="240">
        <v>21497713</v>
      </c>
      <c r="AC51" s="240">
        <v>2489574</v>
      </c>
      <c r="AD51" s="235">
        <v>0</v>
      </c>
      <c r="AE51" s="235">
        <v>19695</v>
      </c>
      <c r="AF51" s="232">
        <v>0</v>
      </c>
      <c r="AG51" s="235">
        <v>664195</v>
      </c>
      <c r="AH51" s="1759">
        <v>0.6</v>
      </c>
      <c r="AI51" s="238">
        <v>708695</v>
      </c>
      <c r="AJ51" s="242">
        <v>0.6</v>
      </c>
      <c r="AK51" s="241">
        <v>485688</v>
      </c>
      <c r="AL51" s="242">
        <v>0.4</v>
      </c>
      <c r="AM51" s="241">
        <v>20858128</v>
      </c>
      <c r="AN51" s="1684">
        <v>18.100000000000001</v>
      </c>
      <c r="AO51" s="272">
        <v>0</v>
      </c>
      <c r="AP51" s="1760">
        <v>0</v>
      </c>
      <c r="AQ51" s="273">
        <v>7194164</v>
      </c>
      <c r="AR51" s="274">
        <v>6.2</v>
      </c>
      <c r="AS51" s="275">
        <v>304219</v>
      </c>
      <c r="AT51" s="274">
        <v>0.30000000000000004</v>
      </c>
      <c r="AU51" s="272">
        <v>936947</v>
      </c>
      <c r="AV51" s="274">
        <v>0.8</v>
      </c>
      <c r="AW51" s="272">
        <v>1432610</v>
      </c>
      <c r="AX51" s="1760">
        <v>1.2</v>
      </c>
      <c r="AY51" s="238">
        <v>3769887</v>
      </c>
      <c r="AZ51" s="242">
        <v>3.3000000000000003</v>
      </c>
      <c r="BA51" s="241">
        <v>16264160</v>
      </c>
      <c r="BB51" s="242">
        <v>14.1</v>
      </c>
      <c r="BC51" s="241">
        <v>8365720</v>
      </c>
      <c r="BD51" s="385">
        <v>7.3</v>
      </c>
      <c r="BE51" s="252">
        <v>115319398</v>
      </c>
      <c r="BF51" s="1683">
        <v>100</v>
      </c>
      <c r="BG51" s="337"/>
    </row>
    <row r="52" spans="1:59" s="327" customFormat="1" ht="15.75" customHeight="1">
      <c r="A52" s="369" t="s">
        <v>277</v>
      </c>
      <c r="B52" s="103">
        <v>28879051</v>
      </c>
      <c r="C52" s="104">
        <v>25.1</v>
      </c>
      <c r="D52" s="105">
        <v>733258</v>
      </c>
      <c r="E52" s="104">
        <v>0.6</v>
      </c>
      <c r="F52" s="105">
        <v>21908</v>
      </c>
      <c r="G52" s="104">
        <v>0</v>
      </c>
      <c r="H52" s="105">
        <v>107950</v>
      </c>
      <c r="I52" s="104">
        <v>0.1</v>
      </c>
      <c r="J52" s="105">
        <v>79733</v>
      </c>
      <c r="K52" s="1694">
        <v>0.1</v>
      </c>
      <c r="L52" s="103">
        <v>5078046</v>
      </c>
      <c r="M52" s="104">
        <v>4.4000000000000004</v>
      </c>
      <c r="N52" s="105">
        <v>8356</v>
      </c>
      <c r="O52" s="104">
        <v>0</v>
      </c>
      <c r="P52" s="1723" t="s">
        <v>153</v>
      </c>
      <c r="Q52" s="104" t="s">
        <v>153</v>
      </c>
      <c r="R52" s="1723" t="s">
        <v>153</v>
      </c>
      <c r="S52" s="104" t="s">
        <v>153</v>
      </c>
      <c r="T52" s="101">
        <v>39160</v>
      </c>
      <c r="U52" s="99">
        <v>0</v>
      </c>
      <c r="V52" s="77">
        <v>475182</v>
      </c>
      <c r="W52" s="1763">
        <v>0.4</v>
      </c>
      <c r="X52" s="100">
        <v>201326</v>
      </c>
      <c r="Y52" s="99">
        <v>0.2</v>
      </c>
      <c r="Z52" s="102">
        <v>22446482</v>
      </c>
      <c r="AA52" s="99">
        <v>19.5</v>
      </c>
      <c r="AB52" s="102">
        <v>19917357</v>
      </c>
      <c r="AC52" s="102">
        <v>2529125</v>
      </c>
      <c r="AD52" s="101">
        <v>0</v>
      </c>
      <c r="AE52" s="101">
        <v>30007</v>
      </c>
      <c r="AF52" s="99">
        <v>0</v>
      </c>
      <c r="AG52" s="101">
        <v>506009</v>
      </c>
      <c r="AH52" s="1761">
        <v>0.5</v>
      </c>
      <c r="AI52" s="103">
        <v>1187957</v>
      </c>
      <c r="AJ52" s="104">
        <v>1</v>
      </c>
      <c r="AK52" s="105">
        <v>1097587</v>
      </c>
      <c r="AL52" s="104">
        <v>1</v>
      </c>
      <c r="AM52" s="105">
        <v>25152197</v>
      </c>
      <c r="AN52" s="1695">
        <v>21.9</v>
      </c>
      <c r="AO52" s="114">
        <v>13693</v>
      </c>
      <c r="AP52" s="1705">
        <v>0</v>
      </c>
      <c r="AQ52" s="115">
        <v>8579402</v>
      </c>
      <c r="AR52" s="116">
        <v>7.5</v>
      </c>
      <c r="AS52" s="277">
        <v>786951</v>
      </c>
      <c r="AT52" s="116">
        <v>0.7</v>
      </c>
      <c r="AU52" s="114">
        <v>248281</v>
      </c>
      <c r="AV52" s="116">
        <v>0.2</v>
      </c>
      <c r="AW52" s="114">
        <v>3358816</v>
      </c>
      <c r="AX52" s="1705">
        <v>2.9</v>
      </c>
      <c r="AY52" s="103">
        <v>3265530</v>
      </c>
      <c r="AZ52" s="104">
        <v>2.8</v>
      </c>
      <c r="BA52" s="105">
        <v>2116912</v>
      </c>
      <c r="BB52" s="104">
        <v>1.8</v>
      </c>
      <c r="BC52" s="105">
        <v>10687900</v>
      </c>
      <c r="BD52" s="267">
        <v>9.3000000000000007</v>
      </c>
      <c r="BE52" s="188">
        <v>115101694</v>
      </c>
      <c r="BF52" s="1686">
        <v>100</v>
      </c>
      <c r="BG52" s="337"/>
    </row>
    <row r="53" spans="1:59" s="327" customFormat="1" ht="15.75" customHeight="1">
      <c r="A53" s="230" t="s">
        <v>226</v>
      </c>
      <c r="B53" s="140">
        <v>87637993</v>
      </c>
      <c r="C53" s="136">
        <v>38.700000000000003</v>
      </c>
      <c r="D53" s="141">
        <v>1925204</v>
      </c>
      <c r="E53" s="136">
        <v>0.8</v>
      </c>
      <c r="F53" s="141">
        <v>28999</v>
      </c>
      <c r="G53" s="136">
        <v>0</v>
      </c>
      <c r="H53" s="141">
        <v>530807</v>
      </c>
      <c r="I53" s="136">
        <v>0.2</v>
      </c>
      <c r="J53" s="141">
        <v>355282</v>
      </c>
      <c r="K53" s="1677">
        <v>0.2</v>
      </c>
      <c r="L53" s="140">
        <v>11670858</v>
      </c>
      <c r="M53" s="136">
        <v>5.1999999999999993</v>
      </c>
      <c r="N53" s="141">
        <v>48614</v>
      </c>
      <c r="O53" s="136">
        <v>0</v>
      </c>
      <c r="P53" s="1713">
        <v>0</v>
      </c>
      <c r="Q53" s="136">
        <v>0</v>
      </c>
      <c r="R53" s="1713">
        <v>2426</v>
      </c>
      <c r="S53" s="136">
        <v>0</v>
      </c>
      <c r="T53" s="129">
        <v>132856</v>
      </c>
      <c r="U53" s="128">
        <v>0.1</v>
      </c>
      <c r="V53" s="129">
        <v>1100922</v>
      </c>
      <c r="W53" s="1764">
        <v>0.5</v>
      </c>
      <c r="X53" s="132">
        <v>708556</v>
      </c>
      <c r="Y53" s="128">
        <v>0.3</v>
      </c>
      <c r="Z53" s="144">
        <v>16526604</v>
      </c>
      <c r="AA53" s="128">
        <v>7.3</v>
      </c>
      <c r="AB53" s="144">
        <v>14962896</v>
      </c>
      <c r="AC53" s="144">
        <v>1563670</v>
      </c>
      <c r="AD53" s="129">
        <v>38</v>
      </c>
      <c r="AE53" s="129">
        <v>69853</v>
      </c>
      <c r="AF53" s="128">
        <v>0</v>
      </c>
      <c r="AG53" s="129">
        <v>1818500</v>
      </c>
      <c r="AH53" s="1764">
        <v>0.8</v>
      </c>
      <c r="AI53" s="140">
        <v>1401870</v>
      </c>
      <c r="AJ53" s="136">
        <v>0.6</v>
      </c>
      <c r="AK53" s="141">
        <v>1056736</v>
      </c>
      <c r="AL53" s="136">
        <v>0.5</v>
      </c>
      <c r="AM53" s="141">
        <v>48151967</v>
      </c>
      <c r="AN53" s="1678">
        <v>21.3</v>
      </c>
      <c r="AO53" s="155">
        <v>0</v>
      </c>
      <c r="AP53" s="1707">
        <v>0</v>
      </c>
      <c r="AQ53" s="268">
        <v>13995229</v>
      </c>
      <c r="AR53" s="156">
        <v>6.1999999999999993</v>
      </c>
      <c r="AS53" s="154">
        <v>425841</v>
      </c>
      <c r="AT53" s="156">
        <v>0.2</v>
      </c>
      <c r="AU53" s="155">
        <v>505177</v>
      </c>
      <c r="AV53" s="156">
        <v>0.2</v>
      </c>
      <c r="AW53" s="155">
        <v>5460263</v>
      </c>
      <c r="AX53" s="1707">
        <v>2.4</v>
      </c>
      <c r="AY53" s="140">
        <v>10456021</v>
      </c>
      <c r="AZ53" s="136">
        <v>4.5999999999999996</v>
      </c>
      <c r="BA53" s="141">
        <v>5974240</v>
      </c>
      <c r="BB53" s="136">
        <v>2.6</v>
      </c>
      <c r="BC53" s="141">
        <v>16461000</v>
      </c>
      <c r="BD53" s="266">
        <v>7.3</v>
      </c>
      <c r="BE53" s="175">
        <v>226445818</v>
      </c>
      <c r="BF53" s="1677">
        <v>100</v>
      </c>
      <c r="BG53" s="337"/>
    </row>
    <row r="54" spans="1:59" s="327" customFormat="1" ht="15.75" customHeight="1">
      <c r="A54" s="369" t="s">
        <v>278</v>
      </c>
      <c r="B54" s="103">
        <v>30924244</v>
      </c>
      <c r="C54" s="104">
        <v>27.5</v>
      </c>
      <c r="D54" s="105">
        <v>546496</v>
      </c>
      <c r="E54" s="104">
        <v>0.5</v>
      </c>
      <c r="F54" s="105">
        <v>14441</v>
      </c>
      <c r="G54" s="104">
        <v>0</v>
      </c>
      <c r="H54" s="105">
        <v>156406</v>
      </c>
      <c r="I54" s="104">
        <v>0.1</v>
      </c>
      <c r="J54" s="105">
        <v>108901</v>
      </c>
      <c r="K54" s="1694">
        <v>0.1</v>
      </c>
      <c r="L54" s="103">
        <v>5396415</v>
      </c>
      <c r="M54" s="104">
        <v>4.8</v>
      </c>
      <c r="N54" s="105">
        <v>26695</v>
      </c>
      <c r="O54" s="104">
        <v>0</v>
      </c>
      <c r="P54" s="1726" t="s">
        <v>153</v>
      </c>
      <c r="Q54" s="74" t="s">
        <v>153</v>
      </c>
      <c r="R54" s="1723">
        <v>17</v>
      </c>
      <c r="S54" s="104">
        <v>0</v>
      </c>
      <c r="T54" s="101">
        <v>66459</v>
      </c>
      <c r="U54" s="99">
        <v>0.1</v>
      </c>
      <c r="V54" s="101">
        <v>523775</v>
      </c>
      <c r="W54" s="1761">
        <v>0.5</v>
      </c>
      <c r="X54" s="100">
        <v>208160</v>
      </c>
      <c r="Y54" s="99">
        <v>0.2</v>
      </c>
      <c r="Z54" s="102">
        <v>21967640</v>
      </c>
      <c r="AA54" s="99">
        <v>19.600000000000001</v>
      </c>
      <c r="AB54" s="102">
        <v>19504461</v>
      </c>
      <c r="AC54" s="102">
        <v>2463179</v>
      </c>
      <c r="AD54" s="77" t="s">
        <v>153</v>
      </c>
      <c r="AE54" s="101">
        <v>19144</v>
      </c>
      <c r="AF54" s="99">
        <v>0</v>
      </c>
      <c r="AG54" s="101">
        <v>530090</v>
      </c>
      <c r="AH54" s="1761">
        <v>0.5</v>
      </c>
      <c r="AI54" s="103">
        <v>1267222</v>
      </c>
      <c r="AJ54" s="104">
        <v>1.1000000000000001</v>
      </c>
      <c r="AK54" s="105">
        <v>746444</v>
      </c>
      <c r="AL54" s="104">
        <v>0.7</v>
      </c>
      <c r="AM54" s="105">
        <v>22525725</v>
      </c>
      <c r="AN54" s="1695">
        <v>20</v>
      </c>
      <c r="AO54" s="114">
        <v>135197</v>
      </c>
      <c r="AP54" s="1705">
        <v>0.1</v>
      </c>
      <c r="AQ54" s="115">
        <v>7834154</v>
      </c>
      <c r="AR54" s="116">
        <v>7</v>
      </c>
      <c r="AS54" s="277">
        <v>567545</v>
      </c>
      <c r="AT54" s="116">
        <v>0.5</v>
      </c>
      <c r="AU54" s="114">
        <v>365001</v>
      </c>
      <c r="AV54" s="116">
        <v>0.3</v>
      </c>
      <c r="AW54" s="114">
        <v>196131</v>
      </c>
      <c r="AX54" s="1705">
        <v>0.2</v>
      </c>
      <c r="AY54" s="103">
        <v>5445980</v>
      </c>
      <c r="AZ54" s="104">
        <v>4.8</v>
      </c>
      <c r="BA54" s="105">
        <v>5118197</v>
      </c>
      <c r="BB54" s="104">
        <v>4.5999999999999996</v>
      </c>
      <c r="BC54" s="105">
        <v>7610300</v>
      </c>
      <c r="BD54" s="267">
        <v>6.8</v>
      </c>
      <c r="BE54" s="122">
        <v>112300779</v>
      </c>
      <c r="BF54" s="1694">
        <v>100</v>
      </c>
      <c r="BG54" s="337"/>
    </row>
    <row r="55" spans="1:59" s="327" customFormat="1" ht="15.75" customHeight="1">
      <c r="A55" s="230" t="s">
        <v>228</v>
      </c>
      <c r="B55" s="140">
        <v>77206575</v>
      </c>
      <c r="C55" s="136">
        <v>34.700000000000003</v>
      </c>
      <c r="D55" s="141">
        <v>1601520</v>
      </c>
      <c r="E55" s="136">
        <v>0.7</v>
      </c>
      <c r="F55" s="141">
        <v>30048</v>
      </c>
      <c r="G55" s="136">
        <v>0</v>
      </c>
      <c r="H55" s="141">
        <v>327417</v>
      </c>
      <c r="I55" s="136">
        <v>0.1</v>
      </c>
      <c r="J55" s="141">
        <v>229318</v>
      </c>
      <c r="K55" s="1677">
        <v>0.1</v>
      </c>
      <c r="L55" s="140">
        <v>11549363</v>
      </c>
      <c r="M55" s="136">
        <v>5.2</v>
      </c>
      <c r="N55" s="141">
        <v>46344</v>
      </c>
      <c r="O55" s="136">
        <v>0</v>
      </c>
      <c r="P55" s="1713">
        <v>0</v>
      </c>
      <c r="Q55" s="242">
        <v>0</v>
      </c>
      <c r="R55" s="1713">
        <v>42</v>
      </c>
      <c r="S55" s="136">
        <v>0</v>
      </c>
      <c r="T55" s="129">
        <v>165347</v>
      </c>
      <c r="U55" s="128">
        <v>0.1</v>
      </c>
      <c r="V55" s="129">
        <v>1153524</v>
      </c>
      <c r="W55" s="1764">
        <v>0.5</v>
      </c>
      <c r="X55" s="132">
        <v>622339</v>
      </c>
      <c r="Y55" s="128">
        <v>0.3</v>
      </c>
      <c r="Z55" s="144">
        <v>19442891</v>
      </c>
      <c r="AA55" s="128">
        <v>8.6999999999999993</v>
      </c>
      <c r="AB55" s="144">
        <v>18371697</v>
      </c>
      <c r="AC55" s="144">
        <v>1071194</v>
      </c>
      <c r="AD55" s="129">
        <v>0</v>
      </c>
      <c r="AE55" s="129">
        <v>54517</v>
      </c>
      <c r="AF55" s="128">
        <v>0</v>
      </c>
      <c r="AG55" s="129">
        <v>524210</v>
      </c>
      <c r="AH55" s="1764">
        <v>0.2</v>
      </c>
      <c r="AI55" s="140">
        <v>1979408</v>
      </c>
      <c r="AJ55" s="136">
        <v>0.9</v>
      </c>
      <c r="AK55" s="141">
        <v>1064393</v>
      </c>
      <c r="AL55" s="136">
        <v>0.5</v>
      </c>
      <c r="AM55" s="141">
        <v>51466765</v>
      </c>
      <c r="AN55" s="1678">
        <v>23.2</v>
      </c>
      <c r="AO55" s="155">
        <v>0</v>
      </c>
      <c r="AP55" s="1760">
        <v>0</v>
      </c>
      <c r="AQ55" s="268">
        <v>14607358</v>
      </c>
      <c r="AR55" s="156">
        <v>6.6</v>
      </c>
      <c r="AS55" s="154">
        <v>552146</v>
      </c>
      <c r="AT55" s="156">
        <v>0.3</v>
      </c>
      <c r="AU55" s="155">
        <v>428951</v>
      </c>
      <c r="AV55" s="156">
        <v>0.2</v>
      </c>
      <c r="AW55" s="155">
        <v>6687568</v>
      </c>
      <c r="AX55" s="1707">
        <v>3</v>
      </c>
      <c r="AY55" s="140">
        <v>8106663</v>
      </c>
      <c r="AZ55" s="136">
        <v>3.7</v>
      </c>
      <c r="BA55" s="141">
        <v>2298107</v>
      </c>
      <c r="BB55" s="136">
        <v>1</v>
      </c>
      <c r="BC55" s="141">
        <v>22150900</v>
      </c>
      <c r="BD55" s="266">
        <v>10</v>
      </c>
      <c r="BE55" s="175">
        <f>B55+D55+F55+H55+J55+L55+N55+P55+R55+T55+V55+X55+Z55+AE55+AG55+AI55+AK55+AM55+AO55+AQ55+AS55+AU55+AW55+AY55+BA55+BC55</f>
        <v>222295714</v>
      </c>
      <c r="BF55" s="1677">
        <f>C55+E55+G55+I55+K55+M55+O55+Q55+S55+U55+W55+Y55+AA55+AF55+AH55+AJ55+AL55+AN55+AP55+AR55+AT55+AV55+AX55+AZ55+BB55+BD55</f>
        <v>100</v>
      </c>
      <c r="BG55" s="337"/>
    </row>
    <row r="56" spans="1:59" s="327" customFormat="1" ht="15.75" customHeight="1">
      <c r="A56" s="369" t="s">
        <v>229</v>
      </c>
      <c r="B56" s="507">
        <v>32970868</v>
      </c>
      <c r="C56" s="566">
        <v>21.9</v>
      </c>
      <c r="D56" s="565">
        <v>852358</v>
      </c>
      <c r="E56" s="566">
        <v>0.6</v>
      </c>
      <c r="F56" s="565">
        <v>22782</v>
      </c>
      <c r="G56" s="566">
        <v>0</v>
      </c>
      <c r="H56" s="565">
        <v>163820</v>
      </c>
      <c r="I56" s="566">
        <v>0.1</v>
      </c>
      <c r="J56" s="565">
        <v>120731</v>
      </c>
      <c r="K56" s="1710">
        <v>0.1</v>
      </c>
      <c r="L56" s="507">
        <v>6189754</v>
      </c>
      <c r="M56" s="566">
        <v>4.0999999999999996</v>
      </c>
      <c r="N56" s="565">
        <v>46528</v>
      </c>
      <c r="O56" s="566">
        <v>0</v>
      </c>
      <c r="P56" s="1770" t="s">
        <v>148</v>
      </c>
      <c r="Q56" s="677" t="s">
        <v>148</v>
      </c>
      <c r="R56" s="1770" t="s">
        <v>148</v>
      </c>
      <c r="S56" s="677" t="s">
        <v>148</v>
      </c>
      <c r="T56" s="505">
        <v>88905</v>
      </c>
      <c r="U56" s="504">
        <v>0.1</v>
      </c>
      <c r="V56" s="505">
        <v>620417</v>
      </c>
      <c r="W56" s="1771">
        <v>0.4</v>
      </c>
      <c r="X56" s="502">
        <v>257358</v>
      </c>
      <c r="Y56" s="504">
        <v>0.2</v>
      </c>
      <c r="Z56" s="503">
        <v>26835318</v>
      </c>
      <c r="AA56" s="504">
        <v>17.899999999999999</v>
      </c>
      <c r="AB56" s="503">
        <v>24957211</v>
      </c>
      <c r="AC56" s="503">
        <v>1878107</v>
      </c>
      <c r="AD56" s="505" t="s">
        <v>148</v>
      </c>
      <c r="AE56" s="505">
        <v>30851</v>
      </c>
      <c r="AF56" s="504">
        <v>0</v>
      </c>
      <c r="AG56" s="505">
        <v>527095</v>
      </c>
      <c r="AH56" s="1771">
        <v>0.4</v>
      </c>
      <c r="AI56" s="507">
        <v>2923931</v>
      </c>
      <c r="AJ56" s="566">
        <v>1.9</v>
      </c>
      <c r="AK56" s="565">
        <v>917231</v>
      </c>
      <c r="AL56" s="566">
        <v>0.6</v>
      </c>
      <c r="AM56" s="565">
        <v>28973751</v>
      </c>
      <c r="AN56" s="1711">
        <v>19.3</v>
      </c>
      <c r="AO56" s="678">
        <v>69382</v>
      </c>
      <c r="AP56" s="1772">
        <v>0.1</v>
      </c>
      <c r="AQ56" s="592">
        <v>10024873</v>
      </c>
      <c r="AR56" s="679">
        <v>6.7</v>
      </c>
      <c r="AS56" s="680">
        <v>287185</v>
      </c>
      <c r="AT56" s="679">
        <v>0.2</v>
      </c>
      <c r="AU56" s="678">
        <v>966948</v>
      </c>
      <c r="AV56" s="679">
        <v>0.6</v>
      </c>
      <c r="AW56" s="678">
        <v>3219686</v>
      </c>
      <c r="AX56" s="1772">
        <v>2.1</v>
      </c>
      <c r="AY56" s="507">
        <v>4838271</v>
      </c>
      <c r="AZ56" s="566">
        <v>3.2</v>
      </c>
      <c r="BA56" s="565">
        <v>19166624</v>
      </c>
      <c r="BB56" s="566">
        <v>12.8</v>
      </c>
      <c r="BC56" s="565">
        <v>10126892</v>
      </c>
      <c r="BD56" s="681">
        <v>6.7</v>
      </c>
      <c r="BE56" s="682">
        <v>150241559</v>
      </c>
      <c r="BF56" s="1404">
        <v>99.999999999999972</v>
      </c>
      <c r="BG56" s="337"/>
    </row>
    <row r="57" spans="1:59" s="327" customFormat="1" ht="15.75" customHeight="1">
      <c r="A57" s="230" t="s">
        <v>230</v>
      </c>
      <c r="B57" s="140">
        <v>65155945</v>
      </c>
      <c r="C57" s="136">
        <v>36.5</v>
      </c>
      <c r="D57" s="141">
        <v>1048887</v>
      </c>
      <c r="E57" s="136">
        <v>0.6</v>
      </c>
      <c r="F57" s="141">
        <v>45933</v>
      </c>
      <c r="G57" s="136">
        <v>0</v>
      </c>
      <c r="H57" s="141">
        <v>459202</v>
      </c>
      <c r="I57" s="136">
        <v>0.3</v>
      </c>
      <c r="J57" s="141">
        <v>313159</v>
      </c>
      <c r="K57" s="1677">
        <v>0.2</v>
      </c>
      <c r="L57" s="140">
        <v>10937610</v>
      </c>
      <c r="M57" s="136">
        <v>6.1</v>
      </c>
      <c r="N57" s="141">
        <v>25368</v>
      </c>
      <c r="O57" s="136">
        <v>0</v>
      </c>
      <c r="P57" s="1713">
        <v>0</v>
      </c>
      <c r="Q57" s="136">
        <v>0</v>
      </c>
      <c r="R57" s="1713">
        <v>3081</v>
      </c>
      <c r="S57" s="136">
        <v>0</v>
      </c>
      <c r="T57" s="129">
        <v>106780</v>
      </c>
      <c r="U57" s="128">
        <v>0.1</v>
      </c>
      <c r="V57" s="129">
        <v>1230617</v>
      </c>
      <c r="W57" s="1764">
        <v>0.7</v>
      </c>
      <c r="X57" s="132">
        <v>457016</v>
      </c>
      <c r="Y57" s="128">
        <v>0.3</v>
      </c>
      <c r="Z57" s="144">
        <v>18547618</v>
      </c>
      <c r="AA57" s="128">
        <v>10.4</v>
      </c>
      <c r="AB57" s="144">
        <v>17085095</v>
      </c>
      <c r="AC57" s="144">
        <v>1462523</v>
      </c>
      <c r="AD57" s="129" t="s">
        <v>148</v>
      </c>
      <c r="AE57" s="129">
        <v>69069</v>
      </c>
      <c r="AF57" s="128">
        <v>0</v>
      </c>
      <c r="AG57" s="129">
        <v>1331267</v>
      </c>
      <c r="AH57" s="1764">
        <v>0.7</v>
      </c>
      <c r="AI57" s="140">
        <v>1495566</v>
      </c>
      <c r="AJ57" s="136">
        <v>0.8</v>
      </c>
      <c r="AK57" s="141">
        <v>1759992</v>
      </c>
      <c r="AL57" s="136">
        <v>1</v>
      </c>
      <c r="AM57" s="141">
        <v>39948032</v>
      </c>
      <c r="AN57" s="1678">
        <v>22.4</v>
      </c>
      <c r="AO57" s="155">
        <v>733</v>
      </c>
      <c r="AP57" s="1707">
        <v>0</v>
      </c>
      <c r="AQ57" s="268">
        <v>11914132</v>
      </c>
      <c r="AR57" s="156">
        <v>6.7</v>
      </c>
      <c r="AS57" s="154">
        <v>156573</v>
      </c>
      <c r="AT57" s="156">
        <v>0.1</v>
      </c>
      <c r="AU57" s="155">
        <v>1116475</v>
      </c>
      <c r="AV57" s="156">
        <v>0.6</v>
      </c>
      <c r="AW57" s="155">
        <v>2739131</v>
      </c>
      <c r="AX57" s="1707">
        <v>1.5</v>
      </c>
      <c r="AY57" s="140">
        <v>2565062</v>
      </c>
      <c r="AZ57" s="136">
        <v>1.4</v>
      </c>
      <c r="BA57" s="141">
        <v>3173644</v>
      </c>
      <c r="BB57" s="136">
        <v>1.8</v>
      </c>
      <c r="BC57" s="141">
        <v>13722053</v>
      </c>
      <c r="BD57" s="266">
        <v>7.7</v>
      </c>
      <c r="BE57" s="175">
        <v>178322945</v>
      </c>
      <c r="BF57" s="1683">
        <v>99.899999999999991</v>
      </c>
      <c r="BG57" s="337"/>
    </row>
    <row r="58" spans="1:59" s="327" customFormat="1" ht="15.75" customHeight="1">
      <c r="A58" s="369" t="s">
        <v>231</v>
      </c>
      <c r="B58" s="75">
        <v>70434337</v>
      </c>
      <c r="C58" s="74">
        <v>32.700000000000003</v>
      </c>
      <c r="D58" s="76">
        <v>1445543</v>
      </c>
      <c r="E58" s="74">
        <v>0.7</v>
      </c>
      <c r="F58" s="76">
        <v>59999</v>
      </c>
      <c r="G58" s="74">
        <v>0</v>
      </c>
      <c r="H58" s="76">
        <v>359983</v>
      </c>
      <c r="I58" s="74">
        <v>0.2</v>
      </c>
      <c r="J58" s="76">
        <v>296378</v>
      </c>
      <c r="K58" s="1686">
        <v>0.1</v>
      </c>
      <c r="L58" s="75">
        <v>12606505</v>
      </c>
      <c r="M58" s="74">
        <v>5.8</v>
      </c>
      <c r="N58" s="76">
        <v>86931</v>
      </c>
      <c r="O58" s="74">
        <v>0</v>
      </c>
      <c r="P58" s="1726">
        <v>0</v>
      </c>
      <c r="Q58" s="74">
        <v>0</v>
      </c>
      <c r="R58" s="1726">
        <v>0</v>
      </c>
      <c r="S58" s="74">
        <v>0</v>
      </c>
      <c r="T58" s="77">
        <v>87493</v>
      </c>
      <c r="U58" s="72">
        <v>0</v>
      </c>
      <c r="V58" s="77">
        <v>1192138</v>
      </c>
      <c r="W58" s="1763">
        <v>0.6</v>
      </c>
      <c r="X58" s="73">
        <v>570017</v>
      </c>
      <c r="Y58" s="72">
        <v>0.3</v>
      </c>
      <c r="Z58" s="78">
        <v>24085252</v>
      </c>
      <c r="AA58" s="72">
        <v>11.2</v>
      </c>
      <c r="AB58" s="78">
        <v>22162472</v>
      </c>
      <c r="AC58" s="78">
        <v>1922780</v>
      </c>
      <c r="AD58" s="77">
        <v>0</v>
      </c>
      <c r="AE58" s="77">
        <v>58482</v>
      </c>
      <c r="AF58" s="72">
        <v>0</v>
      </c>
      <c r="AG58" s="77">
        <v>561320</v>
      </c>
      <c r="AH58" s="1763">
        <v>0.3</v>
      </c>
      <c r="AI58" s="75">
        <v>2127491</v>
      </c>
      <c r="AJ58" s="74">
        <v>1</v>
      </c>
      <c r="AK58" s="76">
        <v>981542</v>
      </c>
      <c r="AL58" s="74">
        <v>0.5</v>
      </c>
      <c r="AM58" s="76">
        <v>56239220</v>
      </c>
      <c r="AN58" s="1687">
        <v>26.1</v>
      </c>
      <c r="AO58" s="187">
        <v>2573</v>
      </c>
      <c r="AP58" s="1702">
        <v>0</v>
      </c>
      <c r="AQ58" s="269">
        <v>17321827</v>
      </c>
      <c r="AR58" s="270">
        <v>8</v>
      </c>
      <c r="AS58" s="276">
        <v>146491</v>
      </c>
      <c r="AT58" s="270">
        <v>0.1</v>
      </c>
      <c r="AU58" s="187">
        <v>1060138</v>
      </c>
      <c r="AV58" s="270">
        <v>0.5</v>
      </c>
      <c r="AW58" s="187">
        <v>3993270</v>
      </c>
      <c r="AX58" s="1702">
        <v>1.8</v>
      </c>
      <c r="AY58" s="75">
        <v>3396087</v>
      </c>
      <c r="AZ58" s="74">
        <v>1.6</v>
      </c>
      <c r="BA58" s="76">
        <v>9505633</v>
      </c>
      <c r="BB58" s="74">
        <v>4.4000000000000004</v>
      </c>
      <c r="BC58" s="76">
        <v>8933813</v>
      </c>
      <c r="BD58" s="278">
        <v>4.0999999999999996</v>
      </c>
      <c r="BE58" s="188">
        <v>215552463</v>
      </c>
      <c r="BF58" s="1686">
        <v>100</v>
      </c>
      <c r="BG58" s="337"/>
    </row>
    <row r="59" spans="1:59" s="327" customFormat="1" ht="15.75" customHeight="1">
      <c r="A59" s="230" t="s">
        <v>232</v>
      </c>
      <c r="B59" s="238">
        <v>45761365</v>
      </c>
      <c r="C59" s="242">
        <v>27.7</v>
      </c>
      <c r="D59" s="241">
        <v>871888</v>
      </c>
      <c r="E59" s="242">
        <v>0.5</v>
      </c>
      <c r="F59" s="241">
        <v>53516</v>
      </c>
      <c r="G59" s="242">
        <v>0</v>
      </c>
      <c r="H59" s="241">
        <v>200095</v>
      </c>
      <c r="I59" s="242">
        <v>0.1</v>
      </c>
      <c r="J59" s="241">
        <v>225430</v>
      </c>
      <c r="K59" s="1683">
        <v>0.1</v>
      </c>
      <c r="L59" s="238">
        <v>8542900</v>
      </c>
      <c r="M59" s="242">
        <v>5.2</v>
      </c>
      <c r="N59" s="241">
        <v>12218</v>
      </c>
      <c r="O59" s="242">
        <v>0</v>
      </c>
      <c r="P59" s="1720">
        <v>0</v>
      </c>
      <c r="Q59" s="242">
        <v>0</v>
      </c>
      <c r="R59" s="1720">
        <v>0</v>
      </c>
      <c r="S59" s="242">
        <v>0</v>
      </c>
      <c r="T59" s="235">
        <v>52699</v>
      </c>
      <c r="U59" s="232">
        <v>0</v>
      </c>
      <c r="V59" s="235">
        <v>607548</v>
      </c>
      <c r="W59" s="1759">
        <v>0.4</v>
      </c>
      <c r="X59" s="233">
        <v>275593</v>
      </c>
      <c r="Y59" s="232">
        <v>0.2</v>
      </c>
      <c r="Z59" s="240">
        <v>25593072</v>
      </c>
      <c r="AA59" s="232">
        <v>15.5</v>
      </c>
      <c r="AB59" s="240">
        <v>23500993</v>
      </c>
      <c r="AC59" s="240">
        <v>2092079</v>
      </c>
      <c r="AD59" s="235">
        <v>0</v>
      </c>
      <c r="AE59" s="235">
        <v>44675</v>
      </c>
      <c r="AF59" s="232">
        <v>0</v>
      </c>
      <c r="AG59" s="235">
        <v>645206</v>
      </c>
      <c r="AH59" s="1759">
        <v>0.4</v>
      </c>
      <c r="AI59" s="238">
        <v>1829991</v>
      </c>
      <c r="AJ59" s="242">
        <v>1.1000000000000001</v>
      </c>
      <c r="AK59" s="241">
        <v>733327</v>
      </c>
      <c r="AL59" s="242">
        <v>0.5</v>
      </c>
      <c r="AM59" s="241">
        <v>43912119</v>
      </c>
      <c r="AN59" s="1684">
        <v>26.5</v>
      </c>
      <c r="AO59" s="272">
        <v>0</v>
      </c>
      <c r="AP59" s="1760">
        <v>0</v>
      </c>
      <c r="AQ59" s="273">
        <v>11885231</v>
      </c>
      <c r="AR59" s="274">
        <v>7.2</v>
      </c>
      <c r="AS59" s="275">
        <v>796527</v>
      </c>
      <c r="AT59" s="274">
        <v>0.5</v>
      </c>
      <c r="AU59" s="272">
        <v>722039</v>
      </c>
      <c r="AV59" s="274">
        <v>0.4</v>
      </c>
      <c r="AW59" s="272">
        <v>474168</v>
      </c>
      <c r="AX59" s="1760">
        <v>0.3</v>
      </c>
      <c r="AY59" s="238">
        <v>5027713</v>
      </c>
      <c r="AZ59" s="242">
        <v>3</v>
      </c>
      <c r="BA59" s="241">
        <v>2292752</v>
      </c>
      <c r="BB59" s="242">
        <v>1.4</v>
      </c>
      <c r="BC59" s="241">
        <v>14950060</v>
      </c>
      <c r="BD59" s="385">
        <v>9</v>
      </c>
      <c r="BE59" s="252">
        <v>165510132</v>
      </c>
      <c r="BF59" s="1683">
        <v>100</v>
      </c>
      <c r="BG59" s="337"/>
    </row>
    <row r="60" spans="1:59" s="327" customFormat="1" ht="15.75" customHeight="1">
      <c r="A60" s="369" t="s">
        <v>234</v>
      </c>
      <c r="B60" s="103">
        <v>42776652</v>
      </c>
      <c r="C60" s="104">
        <v>29.1</v>
      </c>
      <c r="D60" s="105">
        <v>870206</v>
      </c>
      <c r="E60" s="104">
        <v>0.6</v>
      </c>
      <c r="F60" s="105">
        <v>11250</v>
      </c>
      <c r="G60" s="104">
        <v>0</v>
      </c>
      <c r="H60" s="105">
        <v>181382</v>
      </c>
      <c r="I60" s="104">
        <v>0.1</v>
      </c>
      <c r="J60" s="105">
        <v>150741</v>
      </c>
      <c r="K60" s="1694">
        <v>0.1</v>
      </c>
      <c r="L60" s="103">
        <v>7443271</v>
      </c>
      <c r="M60" s="104">
        <v>5.0999999999999996</v>
      </c>
      <c r="N60" s="105">
        <v>7084</v>
      </c>
      <c r="O60" s="104">
        <v>0</v>
      </c>
      <c r="P60" s="1723">
        <v>0</v>
      </c>
      <c r="Q60" s="104">
        <v>0</v>
      </c>
      <c r="R60" s="1723">
        <v>0</v>
      </c>
      <c r="S60" s="104">
        <v>0</v>
      </c>
      <c r="T60" s="101">
        <v>126881</v>
      </c>
      <c r="U60" s="99">
        <v>0.1</v>
      </c>
      <c r="V60" s="101">
        <v>691635</v>
      </c>
      <c r="W60" s="1761">
        <v>0.5</v>
      </c>
      <c r="X60" s="100">
        <v>345764</v>
      </c>
      <c r="Y60" s="99">
        <v>0.2</v>
      </c>
      <c r="Z60" s="102">
        <v>22872227</v>
      </c>
      <c r="AA60" s="99">
        <v>15.6</v>
      </c>
      <c r="AB60" s="102">
        <v>21650125</v>
      </c>
      <c r="AC60" s="102">
        <v>1222102</v>
      </c>
      <c r="AD60" s="101">
        <v>0</v>
      </c>
      <c r="AE60" s="101">
        <v>50882</v>
      </c>
      <c r="AF60" s="99">
        <v>0</v>
      </c>
      <c r="AG60" s="101">
        <v>749488</v>
      </c>
      <c r="AH60" s="1761">
        <v>0.5</v>
      </c>
      <c r="AI60" s="103">
        <v>1316364</v>
      </c>
      <c r="AJ60" s="104">
        <v>0.9</v>
      </c>
      <c r="AK60" s="105">
        <v>1123966</v>
      </c>
      <c r="AL60" s="104">
        <v>0.8</v>
      </c>
      <c r="AM60" s="105">
        <v>37183757</v>
      </c>
      <c r="AN60" s="1695">
        <v>25.3</v>
      </c>
      <c r="AO60" s="114">
        <v>113487</v>
      </c>
      <c r="AP60" s="1705">
        <v>0.1</v>
      </c>
      <c r="AQ60" s="115">
        <v>12292903</v>
      </c>
      <c r="AR60" s="116">
        <v>8.4</v>
      </c>
      <c r="AS60" s="277">
        <v>498828</v>
      </c>
      <c r="AT60" s="116">
        <v>0.4</v>
      </c>
      <c r="AU60" s="114">
        <v>2235564</v>
      </c>
      <c r="AV60" s="116">
        <v>1.5</v>
      </c>
      <c r="AW60" s="114">
        <v>1302664</v>
      </c>
      <c r="AX60" s="1705">
        <v>0.9</v>
      </c>
      <c r="AY60" s="103">
        <v>1367380</v>
      </c>
      <c r="AZ60" s="104">
        <v>0.9</v>
      </c>
      <c r="BA60" s="105">
        <v>6223488</v>
      </c>
      <c r="BB60" s="104">
        <v>4.2</v>
      </c>
      <c r="BC60" s="105">
        <v>6911867</v>
      </c>
      <c r="BD60" s="267">
        <v>4.7</v>
      </c>
      <c r="BE60" s="122">
        <f>SUM(BC60,BA60,AY60,AW60,AU60,AS60,AQ60,AO60,AM60,AK60,AI60,AG60,AE60,Z60,X60,V60,T60,R60,P60,N60,L60,J60,H60,F60,D60,B60)</f>
        <v>146847731</v>
      </c>
      <c r="BF60" s="1686">
        <f>SUM(BD60,BB60,AZ60,AX60,AV60,AT60,AR60,AP60,AN60,AL60,AJ60,AH60,AF60,AA60,Y60,W60,U60,S60,Q60,O60,M60,K60,I60,G60,E60,C60)</f>
        <v>99.999999999999972</v>
      </c>
      <c r="BG60" s="337"/>
    </row>
    <row r="61" spans="1:59" s="327" customFormat="1" ht="15.75" customHeight="1">
      <c r="A61" s="230" t="s">
        <v>236</v>
      </c>
      <c r="B61" s="234">
        <v>54302182</v>
      </c>
      <c r="C61" s="242">
        <v>22.6</v>
      </c>
      <c r="D61" s="241">
        <v>985744</v>
      </c>
      <c r="E61" s="242">
        <v>0.4</v>
      </c>
      <c r="F61" s="241">
        <v>15388</v>
      </c>
      <c r="G61" s="242">
        <v>0</v>
      </c>
      <c r="H61" s="241">
        <v>164763</v>
      </c>
      <c r="I61" s="242">
        <v>0.1</v>
      </c>
      <c r="J61" s="241">
        <v>159045</v>
      </c>
      <c r="K61" s="1683">
        <v>0.1</v>
      </c>
      <c r="L61" s="238">
        <v>10700723</v>
      </c>
      <c r="M61" s="242">
        <v>4.4000000000000004</v>
      </c>
      <c r="N61" s="241">
        <v>52377</v>
      </c>
      <c r="O61" s="242">
        <v>0</v>
      </c>
      <c r="P61" s="1720">
        <v>0</v>
      </c>
      <c r="Q61" s="242">
        <v>0</v>
      </c>
      <c r="R61" s="1720">
        <v>1975</v>
      </c>
      <c r="S61" s="242">
        <v>0</v>
      </c>
      <c r="T61" s="235">
        <v>60869</v>
      </c>
      <c r="U61" s="232">
        <v>0</v>
      </c>
      <c r="V61" s="235">
        <v>793723</v>
      </c>
      <c r="W61" s="1759">
        <v>0.3</v>
      </c>
      <c r="X61" s="233">
        <v>303998</v>
      </c>
      <c r="Y61" s="232">
        <v>0.1</v>
      </c>
      <c r="Z61" s="243">
        <v>37158092</v>
      </c>
      <c r="AA61" s="232">
        <v>15.5</v>
      </c>
      <c r="AB61" s="235">
        <v>35040068</v>
      </c>
      <c r="AC61" s="235">
        <v>2118024</v>
      </c>
      <c r="AD61" s="235">
        <v>0</v>
      </c>
      <c r="AE61" s="235">
        <v>47426</v>
      </c>
      <c r="AF61" s="232">
        <v>0</v>
      </c>
      <c r="AG61" s="235">
        <v>1393373</v>
      </c>
      <c r="AH61" s="1759">
        <v>0.6</v>
      </c>
      <c r="AI61" s="238">
        <v>3156035</v>
      </c>
      <c r="AJ61" s="242">
        <v>1.3</v>
      </c>
      <c r="AK61" s="241">
        <v>696338</v>
      </c>
      <c r="AL61" s="242">
        <v>0.3</v>
      </c>
      <c r="AM61" s="241">
        <v>69031626</v>
      </c>
      <c r="AN61" s="242">
        <v>28.7</v>
      </c>
      <c r="AO61" s="272">
        <v>316</v>
      </c>
      <c r="AP61" s="1760">
        <v>0</v>
      </c>
      <c r="AQ61" s="694">
        <v>15574054</v>
      </c>
      <c r="AR61" s="274">
        <v>6.5</v>
      </c>
      <c r="AS61" s="272">
        <v>1346981</v>
      </c>
      <c r="AT61" s="274">
        <v>0.6</v>
      </c>
      <c r="AU61" s="272">
        <v>1667554</v>
      </c>
      <c r="AV61" s="274">
        <v>0.7</v>
      </c>
      <c r="AW61" s="272">
        <v>7708592</v>
      </c>
      <c r="AX61" s="1760">
        <v>3.2</v>
      </c>
      <c r="AY61" s="238">
        <v>7200852</v>
      </c>
      <c r="AZ61" s="242">
        <v>3</v>
      </c>
      <c r="BA61" s="241">
        <v>6180994</v>
      </c>
      <c r="BB61" s="242">
        <v>2.6</v>
      </c>
      <c r="BC61" s="241">
        <v>21790310</v>
      </c>
      <c r="BD61" s="1684">
        <v>9.1</v>
      </c>
      <c r="BE61" s="252">
        <v>240493330</v>
      </c>
      <c r="BF61" s="1683">
        <v>100</v>
      </c>
      <c r="BG61" s="337"/>
    </row>
    <row r="62" spans="1:59" s="327" customFormat="1" ht="15.75" customHeight="1">
      <c r="A62" s="369" t="s">
        <v>279</v>
      </c>
      <c r="B62" s="110">
        <v>29677258</v>
      </c>
      <c r="C62" s="104">
        <v>21.4</v>
      </c>
      <c r="D62" s="105">
        <v>755900</v>
      </c>
      <c r="E62" s="104">
        <v>0.5</v>
      </c>
      <c r="F62" s="105">
        <v>8602</v>
      </c>
      <c r="G62" s="104">
        <v>0</v>
      </c>
      <c r="H62" s="105">
        <v>91656</v>
      </c>
      <c r="I62" s="104">
        <v>0.1</v>
      </c>
      <c r="J62" s="105">
        <v>88249</v>
      </c>
      <c r="K62" s="1694">
        <v>0.1</v>
      </c>
      <c r="L62" s="110">
        <v>6119367</v>
      </c>
      <c r="M62" s="104">
        <v>4.4000000000000004</v>
      </c>
      <c r="N62" s="105">
        <v>42054</v>
      </c>
      <c r="O62" s="104">
        <v>0</v>
      </c>
      <c r="P62" s="1723" t="s">
        <v>148</v>
      </c>
      <c r="Q62" s="1695" t="s">
        <v>148</v>
      </c>
      <c r="R62" s="1723">
        <v>1532</v>
      </c>
      <c r="S62" s="1695">
        <v>0</v>
      </c>
      <c r="T62" s="105">
        <v>47211</v>
      </c>
      <c r="U62" s="104">
        <v>0</v>
      </c>
      <c r="V62" s="105">
        <v>359946</v>
      </c>
      <c r="W62" s="1694">
        <v>0.3</v>
      </c>
      <c r="X62" s="103">
        <v>201797</v>
      </c>
      <c r="Y62" s="104">
        <v>0.1</v>
      </c>
      <c r="Z62" s="109">
        <v>25973757</v>
      </c>
      <c r="AA62" s="99">
        <v>18.7</v>
      </c>
      <c r="AB62" s="101">
        <v>23774354</v>
      </c>
      <c r="AC62" s="101">
        <v>2199403</v>
      </c>
      <c r="AD62" s="101" t="s">
        <v>148</v>
      </c>
      <c r="AE62" s="101">
        <v>27098</v>
      </c>
      <c r="AF62" s="99">
        <v>0</v>
      </c>
      <c r="AG62" s="101">
        <v>1688678</v>
      </c>
      <c r="AH62" s="1761">
        <v>1.2</v>
      </c>
      <c r="AI62" s="100">
        <v>1976330</v>
      </c>
      <c r="AJ62" s="99">
        <v>1.4</v>
      </c>
      <c r="AK62" s="101">
        <v>739631</v>
      </c>
      <c r="AL62" s="99">
        <v>0.5</v>
      </c>
      <c r="AM62" s="101">
        <v>32603684</v>
      </c>
      <c r="AN62" s="99">
        <v>23.5</v>
      </c>
      <c r="AO62" s="101">
        <v>797997</v>
      </c>
      <c r="AP62" s="1761">
        <v>0.6</v>
      </c>
      <c r="AQ62" s="279">
        <v>9829073</v>
      </c>
      <c r="AR62" s="116">
        <v>7.1</v>
      </c>
      <c r="AS62" s="114">
        <v>704839</v>
      </c>
      <c r="AT62" s="116">
        <v>0.5</v>
      </c>
      <c r="AU62" s="114">
        <v>2422331</v>
      </c>
      <c r="AV62" s="116">
        <v>1.7</v>
      </c>
      <c r="AW62" s="114">
        <v>5892785</v>
      </c>
      <c r="AX62" s="1705">
        <v>4.2</v>
      </c>
      <c r="AY62" s="115">
        <v>6022903</v>
      </c>
      <c r="AZ62" s="116">
        <v>4.3</v>
      </c>
      <c r="BA62" s="114">
        <v>4827163</v>
      </c>
      <c r="BB62" s="116">
        <v>3.5</v>
      </c>
      <c r="BC62" s="114">
        <v>7990100</v>
      </c>
      <c r="BD62" s="1704">
        <v>5.8</v>
      </c>
      <c r="BE62" s="280">
        <v>138889941</v>
      </c>
      <c r="BF62" s="1694">
        <v>100</v>
      </c>
      <c r="BG62" s="337"/>
    </row>
    <row r="63" spans="1:59" s="327" customFormat="1" ht="15.75" customHeight="1">
      <c r="A63" s="230" t="s">
        <v>238</v>
      </c>
      <c r="B63" s="146">
        <v>80662416</v>
      </c>
      <c r="C63" s="136">
        <v>37</v>
      </c>
      <c r="D63" s="141">
        <v>1820637</v>
      </c>
      <c r="E63" s="136">
        <v>0.8</v>
      </c>
      <c r="F63" s="141">
        <v>24140</v>
      </c>
      <c r="G63" s="136">
        <v>0</v>
      </c>
      <c r="H63" s="141">
        <v>223087</v>
      </c>
      <c r="I63" s="136">
        <v>0.1</v>
      </c>
      <c r="J63" s="141">
        <v>186229</v>
      </c>
      <c r="K63" s="1677">
        <v>0.1</v>
      </c>
      <c r="L63" s="140">
        <v>11978681</v>
      </c>
      <c r="M63" s="136">
        <v>5.5</v>
      </c>
      <c r="N63" s="141">
        <v>80747</v>
      </c>
      <c r="O63" s="136">
        <v>0.1</v>
      </c>
      <c r="P63" s="1713">
        <v>0</v>
      </c>
      <c r="Q63" s="136">
        <v>0</v>
      </c>
      <c r="R63" s="1713">
        <v>19</v>
      </c>
      <c r="S63" s="136">
        <v>0</v>
      </c>
      <c r="T63" s="129">
        <v>73159</v>
      </c>
      <c r="U63" s="128">
        <v>0</v>
      </c>
      <c r="V63" s="129">
        <v>1053546</v>
      </c>
      <c r="W63" s="1764">
        <v>0.5</v>
      </c>
      <c r="X63" s="132">
        <v>650300</v>
      </c>
      <c r="Y63" s="128">
        <v>0.3</v>
      </c>
      <c r="Z63" s="145">
        <v>11726025</v>
      </c>
      <c r="AA63" s="128">
        <v>5.4</v>
      </c>
      <c r="AB63" s="129">
        <v>10630228</v>
      </c>
      <c r="AC63" s="129">
        <v>1095797</v>
      </c>
      <c r="AD63" s="129">
        <v>0</v>
      </c>
      <c r="AE63" s="129">
        <v>67593</v>
      </c>
      <c r="AF63" s="128">
        <v>0</v>
      </c>
      <c r="AG63" s="129">
        <v>487593</v>
      </c>
      <c r="AH63" s="1764">
        <v>0.2</v>
      </c>
      <c r="AI63" s="140">
        <v>2272541</v>
      </c>
      <c r="AJ63" s="136">
        <v>1.1000000000000001</v>
      </c>
      <c r="AK63" s="141">
        <v>800274</v>
      </c>
      <c r="AL63" s="136">
        <v>0.4</v>
      </c>
      <c r="AM63" s="141">
        <v>52134475</v>
      </c>
      <c r="AN63" s="136">
        <v>23.9</v>
      </c>
      <c r="AO63" s="155">
        <v>17719</v>
      </c>
      <c r="AP63" s="1707">
        <v>0</v>
      </c>
      <c r="AQ63" s="174">
        <v>18154085</v>
      </c>
      <c r="AR63" s="156">
        <v>8.3000000000000007</v>
      </c>
      <c r="AS63" s="155">
        <v>363693</v>
      </c>
      <c r="AT63" s="156">
        <v>0.2</v>
      </c>
      <c r="AU63" s="155">
        <v>1008030</v>
      </c>
      <c r="AV63" s="156">
        <v>0.5</v>
      </c>
      <c r="AW63" s="155">
        <v>851405</v>
      </c>
      <c r="AX63" s="1707">
        <v>0.4</v>
      </c>
      <c r="AY63" s="140">
        <v>7397732</v>
      </c>
      <c r="AZ63" s="136">
        <v>3.4</v>
      </c>
      <c r="BA63" s="141">
        <v>8572981</v>
      </c>
      <c r="BB63" s="136">
        <v>3.9</v>
      </c>
      <c r="BC63" s="141">
        <v>17197800</v>
      </c>
      <c r="BD63" s="1678">
        <v>7.9</v>
      </c>
      <c r="BE63" s="175">
        <v>217804907</v>
      </c>
      <c r="BF63" s="1677">
        <v>100</v>
      </c>
      <c r="BG63" s="337"/>
    </row>
    <row r="64" spans="1:59" s="327" customFormat="1" ht="15.75" customHeight="1">
      <c r="A64" s="369" t="s">
        <v>239</v>
      </c>
      <c r="B64" s="531">
        <v>56152352</v>
      </c>
      <c r="C64" s="533">
        <v>29.1</v>
      </c>
      <c r="D64" s="530">
        <v>1760089</v>
      </c>
      <c r="E64" s="533">
        <v>0.9</v>
      </c>
      <c r="F64" s="530">
        <v>10713</v>
      </c>
      <c r="G64" s="533">
        <v>0</v>
      </c>
      <c r="H64" s="530">
        <v>139590</v>
      </c>
      <c r="I64" s="533">
        <v>0.1</v>
      </c>
      <c r="J64" s="530">
        <v>113045</v>
      </c>
      <c r="K64" s="1680">
        <v>0.1</v>
      </c>
      <c r="L64" s="531">
        <v>10395264</v>
      </c>
      <c r="M64" s="533">
        <v>5.5</v>
      </c>
      <c r="N64" s="530">
        <v>186842</v>
      </c>
      <c r="O64" s="533">
        <v>0.1</v>
      </c>
      <c r="P64" s="1715" t="s">
        <v>148</v>
      </c>
      <c r="Q64" s="1711" t="s">
        <v>153</v>
      </c>
      <c r="R64" s="1715">
        <v>0</v>
      </c>
      <c r="S64" s="1681">
        <v>0</v>
      </c>
      <c r="T64" s="530">
        <v>61257</v>
      </c>
      <c r="U64" s="533">
        <v>0</v>
      </c>
      <c r="V64" s="530">
        <v>827594</v>
      </c>
      <c r="W64" s="1680">
        <v>0.4</v>
      </c>
      <c r="X64" s="501">
        <v>450135</v>
      </c>
      <c r="Y64" s="533">
        <v>0.2</v>
      </c>
      <c r="Z64" s="536">
        <v>24272949</v>
      </c>
      <c r="AA64" s="497">
        <v>12.6</v>
      </c>
      <c r="AB64" s="498">
        <v>22600913</v>
      </c>
      <c r="AC64" s="498">
        <v>1672036</v>
      </c>
      <c r="AD64" s="498">
        <v>0</v>
      </c>
      <c r="AE64" s="498">
        <v>82278</v>
      </c>
      <c r="AF64" s="497">
        <v>0</v>
      </c>
      <c r="AG64" s="498">
        <v>1791582</v>
      </c>
      <c r="AH64" s="1757">
        <v>0.9</v>
      </c>
      <c r="AI64" s="495">
        <v>2039204</v>
      </c>
      <c r="AJ64" s="497">
        <v>1.1000000000000001</v>
      </c>
      <c r="AK64" s="498">
        <v>1152563</v>
      </c>
      <c r="AL64" s="497">
        <v>0.6</v>
      </c>
      <c r="AM64" s="498">
        <v>47279702</v>
      </c>
      <c r="AN64" s="497">
        <v>24.5</v>
      </c>
      <c r="AO64" s="498" t="s">
        <v>148</v>
      </c>
      <c r="AP64" s="1757" t="s">
        <v>148</v>
      </c>
      <c r="AQ64" s="699">
        <v>15517939</v>
      </c>
      <c r="AR64" s="614">
        <v>8</v>
      </c>
      <c r="AS64" s="612">
        <v>428448</v>
      </c>
      <c r="AT64" s="614">
        <v>0.2</v>
      </c>
      <c r="AU64" s="612">
        <v>5735557</v>
      </c>
      <c r="AV64" s="614">
        <v>3</v>
      </c>
      <c r="AW64" s="612">
        <v>2891426</v>
      </c>
      <c r="AX64" s="1758">
        <v>1.5</v>
      </c>
      <c r="AY64" s="613">
        <v>7816936</v>
      </c>
      <c r="AZ64" s="614">
        <v>4</v>
      </c>
      <c r="BA64" s="612">
        <v>2297005</v>
      </c>
      <c r="BB64" s="614">
        <v>1.2</v>
      </c>
      <c r="BC64" s="612">
        <v>11869245</v>
      </c>
      <c r="BD64" s="1773">
        <v>6.1</v>
      </c>
      <c r="BE64" s="700">
        <v>193271715</v>
      </c>
      <c r="BF64" s="1680">
        <v>100</v>
      </c>
      <c r="BG64" s="337"/>
    </row>
    <row r="65" spans="1:59" s="327" customFormat="1" ht="15.75" customHeight="1">
      <c r="A65" s="230" t="s">
        <v>241</v>
      </c>
      <c r="B65" s="146">
        <v>89932209</v>
      </c>
      <c r="C65" s="136">
        <v>30.6</v>
      </c>
      <c r="D65" s="141">
        <v>1875836</v>
      </c>
      <c r="E65" s="136">
        <v>0.6</v>
      </c>
      <c r="F65" s="141">
        <v>22944</v>
      </c>
      <c r="G65" s="136">
        <v>0</v>
      </c>
      <c r="H65" s="141">
        <v>220852</v>
      </c>
      <c r="I65" s="136">
        <v>0.1</v>
      </c>
      <c r="J65" s="141">
        <v>251140</v>
      </c>
      <c r="K65" s="1677">
        <v>0.1</v>
      </c>
      <c r="L65" s="146">
        <v>15072415</v>
      </c>
      <c r="M65" s="136">
        <v>5.0999999999999996</v>
      </c>
      <c r="N65" s="141">
        <v>50992</v>
      </c>
      <c r="O65" s="136">
        <v>0</v>
      </c>
      <c r="P65" s="1713" t="s">
        <v>153</v>
      </c>
      <c r="Q65" s="141" t="s">
        <v>153</v>
      </c>
      <c r="R65" s="1713" t="s">
        <v>153</v>
      </c>
      <c r="S65" s="141" t="s">
        <v>153</v>
      </c>
      <c r="T65" s="129">
        <v>71151</v>
      </c>
      <c r="U65" s="136">
        <v>0</v>
      </c>
      <c r="V65" s="141">
        <v>1133672</v>
      </c>
      <c r="W65" s="1677">
        <v>0.4</v>
      </c>
      <c r="X65" s="140">
        <v>793949</v>
      </c>
      <c r="Y65" s="136">
        <v>0.3</v>
      </c>
      <c r="Z65" s="144">
        <v>34169828</v>
      </c>
      <c r="AA65" s="128">
        <v>11.6</v>
      </c>
      <c r="AB65" s="129">
        <v>31931025</v>
      </c>
      <c r="AC65" s="129">
        <v>2238803</v>
      </c>
      <c r="AD65" s="129" t="s">
        <v>153</v>
      </c>
      <c r="AE65" s="129">
        <v>95813</v>
      </c>
      <c r="AF65" s="128">
        <v>0</v>
      </c>
      <c r="AG65" s="129">
        <v>1129483</v>
      </c>
      <c r="AH65" s="1764">
        <v>0.4</v>
      </c>
      <c r="AI65" s="132">
        <v>4544355</v>
      </c>
      <c r="AJ65" s="128">
        <v>1.5</v>
      </c>
      <c r="AK65" s="129">
        <v>1000496</v>
      </c>
      <c r="AL65" s="128">
        <v>0.4</v>
      </c>
      <c r="AM65" s="129">
        <v>78833137</v>
      </c>
      <c r="AN65" s="128">
        <v>26.8</v>
      </c>
      <c r="AO65" s="129" t="s">
        <v>153</v>
      </c>
      <c r="AP65" s="1764" t="s">
        <v>153</v>
      </c>
      <c r="AQ65" s="174">
        <v>23847181</v>
      </c>
      <c r="AR65" s="156">
        <v>8.1</v>
      </c>
      <c r="AS65" s="155">
        <v>819007</v>
      </c>
      <c r="AT65" s="156">
        <v>0.3</v>
      </c>
      <c r="AU65" s="155">
        <v>779830</v>
      </c>
      <c r="AV65" s="281">
        <v>0.3</v>
      </c>
      <c r="AW65" s="155">
        <v>7513712</v>
      </c>
      <c r="AX65" s="1707">
        <v>2.6</v>
      </c>
      <c r="AY65" s="268">
        <v>10815903</v>
      </c>
      <c r="AZ65" s="156">
        <v>3.7</v>
      </c>
      <c r="BA65" s="155">
        <v>3487985</v>
      </c>
      <c r="BB65" s="156">
        <v>1.2</v>
      </c>
      <c r="BC65" s="155">
        <v>17428700</v>
      </c>
      <c r="BD65" s="1708">
        <v>5.9</v>
      </c>
      <c r="BE65" s="282">
        <v>293890590</v>
      </c>
      <c r="BF65" s="1677">
        <v>100</v>
      </c>
      <c r="BG65" s="337"/>
    </row>
    <row r="66" spans="1:59" s="327" customFormat="1" ht="15.75" customHeight="1" thickBot="1">
      <c r="A66" s="369" t="s">
        <v>243</v>
      </c>
      <c r="B66" s="103">
        <v>54048320</v>
      </c>
      <c r="C66" s="104">
        <v>28.9</v>
      </c>
      <c r="D66" s="105">
        <v>726437</v>
      </c>
      <c r="E66" s="104">
        <v>0.4</v>
      </c>
      <c r="F66" s="105">
        <v>9116</v>
      </c>
      <c r="G66" s="104">
        <v>0</v>
      </c>
      <c r="H66" s="105">
        <v>79892</v>
      </c>
      <c r="I66" s="104">
        <v>0</v>
      </c>
      <c r="J66" s="105">
        <v>76507</v>
      </c>
      <c r="K66" s="1694">
        <v>0</v>
      </c>
      <c r="L66" s="103">
        <v>7936083</v>
      </c>
      <c r="M66" s="104">
        <v>4.2</v>
      </c>
      <c r="N66" s="105">
        <v>0</v>
      </c>
      <c r="O66" s="104">
        <v>0</v>
      </c>
      <c r="P66" s="1723">
        <v>0</v>
      </c>
      <c r="Q66" s="104">
        <v>0</v>
      </c>
      <c r="R66" s="1723">
        <v>489</v>
      </c>
      <c r="S66" s="104">
        <v>0</v>
      </c>
      <c r="T66" s="101">
        <v>45332</v>
      </c>
      <c r="U66" s="99">
        <v>0</v>
      </c>
      <c r="V66" s="101">
        <v>805701</v>
      </c>
      <c r="W66" s="1761">
        <v>0.4</v>
      </c>
      <c r="X66" s="100">
        <v>140254</v>
      </c>
      <c r="Y66" s="99">
        <v>0.1</v>
      </c>
      <c r="Z66" s="102">
        <v>9878818</v>
      </c>
      <c r="AA66" s="99">
        <v>5.3</v>
      </c>
      <c r="AB66" s="102">
        <v>9089834</v>
      </c>
      <c r="AC66" s="102">
        <v>788984</v>
      </c>
      <c r="AD66" s="101">
        <v>0</v>
      </c>
      <c r="AE66" s="101">
        <v>31334</v>
      </c>
      <c r="AF66" s="99">
        <v>0</v>
      </c>
      <c r="AG66" s="101">
        <v>702263</v>
      </c>
      <c r="AH66" s="1761">
        <v>0.4</v>
      </c>
      <c r="AI66" s="103">
        <v>2791096</v>
      </c>
      <c r="AJ66" s="104">
        <v>1.5</v>
      </c>
      <c r="AK66" s="105">
        <v>703505</v>
      </c>
      <c r="AL66" s="104">
        <v>0.4</v>
      </c>
      <c r="AM66" s="105">
        <v>62424083</v>
      </c>
      <c r="AN66" s="99">
        <v>33.4</v>
      </c>
      <c r="AO66" s="114">
        <v>338332</v>
      </c>
      <c r="AP66" s="1761">
        <v>0.2</v>
      </c>
      <c r="AQ66" s="279">
        <v>16119145</v>
      </c>
      <c r="AR66" s="116">
        <v>8.6</v>
      </c>
      <c r="AS66" s="114">
        <v>765051</v>
      </c>
      <c r="AT66" s="116">
        <v>0.4</v>
      </c>
      <c r="AU66" s="114">
        <v>553798</v>
      </c>
      <c r="AV66" s="116">
        <v>0.3</v>
      </c>
      <c r="AW66" s="114">
        <v>7023958</v>
      </c>
      <c r="AX66" s="1705">
        <v>3.8</v>
      </c>
      <c r="AY66" s="103">
        <v>11397210</v>
      </c>
      <c r="AZ66" s="104">
        <v>6.1</v>
      </c>
      <c r="BA66" s="105">
        <v>2153802</v>
      </c>
      <c r="BB66" s="104">
        <v>1.2</v>
      </c>
      <c r="BC66" s="105">
        <v>8318300</v>
      </c>
      <c r="BD66" s="1704">
        <v>4.4000000000000004</v>
      </c>
      <c r="BE66" s="280">
        <v>187068826</v>
      </c>
      <c r="BF66" s="1694">
        <v>100</v>
      </c>
      <c r="BG66" s="337"/>
    </row>
    <row r="67" spans="1:59" ht="15.75" customHeight="1" thickTop="1">
      <c r="A67" s="231" t="s">
        <v>244</v>
      </c>
      <c r="B67" s="287">
        <f>SUM(B5:B66)</f>
        <v>3658951326</v>
      </c>
      <c r="C67" s="288" t="s">
        <v>153</v>
      </c>
      <c r="D67" s="299">
        <f t="shared" ref="D67:X67" si="0">SUM(D5:D66)</f>
        <v>63492401</v>
      </c>
      <c r="E67" s="288" t="s">
        <v>153</v>
      </c>
      <c r="F67" s="299">
        <f t="shared" si="0"/>
        <v>1869759</v>
      </c>
      <c r="G67" s="288" t="s">
        <v>153</v>
      </c>
      <c r="H67" s="299">
        <f t="shared" si="0"/>
        <v>20322553</v>
      </c>
      <c r="I67" s="288" t="s">
        <v>153</v>
      </c>
      <c r="J67" s="299">
        <f t="shared" si="0"/>
        <v>15284858</v>
      </c>
      <c r="K67" s="290" t="s">
        <v>153</v>
      </c>
      <c r="L67" s="287">
        <f t="shared" si="0"/>
        <v>565388808</v>
      </c>
      <c r="M67" s="288" t="s">
        <v>153</v>
      </c>
      <c r="N67" s="299">
        <f t="shared" si="0"/>
        <v>3061033</v>
      </c>
      <c r="O67" s="288" t="s">
        <v>153</v>
      </c>
      <c r="P67" s="299">
        <f t="shared" si="0"/>
        <v>13449320</v>
      </c>
      <c r="Q67" s="288" t="s">
        <v>153</v>
      </c>
      <c r="R67" s="299">
        <f t="shared" ref="R67" si="1">SUM(R5:R66)</f>
        <v>88669</v>
      </c>
      <c r="S67" s="288" t="s">
        <v>153</v>
      </c>
      <c r="T67" s="299">
        <f t="shared" si="0"/>
        <v>7124845</v>
      </c>
      <c r="U67" s="288" t="s">
        <v>153</v>
      </c>
      <c r="V67" s="299">
        <f t="shared" ref="V67" si="2">SUM(V5:V66)</f>
        <v>55346393</v>
      </c>
      <c r="W67" s="290" t="s">
        <v>153</v>
      </c>
      <c r="X67" s="395">
        <f t="shared" si="0"/>
        <v>26026117</v>
      </c>
      <c r="Y67" s="288" t="s">
        <v>153</v>
      </c>
      <c r="Z67" s="394">
        <f>SUM(Z5:Z66)</f>
        <v>1000268659</v>
      </c>
      <c r="AA67" s="292" t="s">
        <v>153</v>
      </c>
      <c r="AB67" s="301">
        <f t="shared" ref="AB67:AO67" si="3">SUM(AB5:AB66)</f>
        <v>909367864</v>
      </c>
      <c r="AC67" s="301">
        <f t="shared" si="3"/>
        <v>82868338</v>
      </c>
      <c r="AD67" s="301">
        <f t="shared" si="3"/>
        <v>8031986</v>
      </c>
      <c r="AE67" s="301">
        <f t="shared" si="3"/>
        <v>3042661</v>
      </c>
      <c r="AF67" s="292" t="s">
        <v>153</v>
      </c>
      <c r="AG67" s="301">
        <f t="shared" si="3"/>
        <v>48671764</v>
      </c>
      <c r="AH67" s="293" t="s">
        <v>153</v>
      </c>
      <c r="AI67" s="300">
        <f t="shared" si="3"/>
        <v>121609152</v>
      </c>
      <c r="AJ67" s="292" t="s">
        <v>153</v>
      </c>
      <c r="AK67" s="301">
        <f t="shared" si="3"/>
        <v>50588715</v>
      </c>
      <c r="AL67" s="292" t="s">
        <v>153</v>
      </c>
      <c r="AM67" s="301">
        <f t="shared" si="3"/>
        <v>2507934426</v>
      </c>
      <c r="AN67" s="292" t="s">
        <v>153</v>
      </c>
      <c r="AO67" s="301">
        <f t="shared" si="3"/>
        <v>5271203</v>
      </c>
      <c r="AP67" s="311" t="s">
        <v>153</v>
      </c>
      <c r="AQ67" s="302">
        <f>SUM(AQ5:AQ66)</f>
        <v>770082997</v>
      </c>
      <c r="AR67" s="303" t="s">
        <v>153</v>
      </c>
      <c r="AS67" s="304">
        <f t="shared" ref="AS67:BE67" si="4">SUM(AS5:AS66)</f>
        <v>43050752</v>
      </c>
      <c r="AT67" s="303" t="s">
        <v>153</v>
      </c>
      <c r="AU67" s="304">
        <f t="shared" si="4"/>
        <v>56438504</v>
      </c>
      <c r="AV67" s="303" t="s">
        <v>153</v>
      </c>
      <c r="AW67" s="304">
        <f t="shared" si="4"/>
        <v>229766161</v>
      </c>
      <c r="AX67" s="305" t="s">
        <v>153</v>
      </c>
      <c r="AY67" s="302">
        <f t="shared" si="4"/>
        <v>349810058</v>
      </c>
      <c r="AZ67" s="303" t="s">
        <v>153</v>
      </c>
      <c r="BA67" s="304">
        <f t="shared" si="4"/>
        <v>371252223</v>
      </c>
      <c r="BB67" s="303" t="s">
        <v>153</v>
      </c>
      <c r="BC67" s="304">
        <f t="shared" si="4"/>
        <v>659112843</v>
      </c>
      <c r="BD67" s="306" t="s">
        <v>153</v>
      </c>
      <c r="BE67" s="307">
        <f t="shared" si="4"/>
        <v>10633834131</v>
      </c>
      <c r="BF67" s="305" t="s">
        <v>153</v>
      </c>
    </row>
    <row r="68" spans="1:59" ht="15.75" customHeight="1">
      <c r="A68" s="369" t="s">
        <v>245</v>
      </c>
      <c r="B68" s="447">
        <f>AVERAGE(B5:B66)</f>
        <v>59015343.967741936</v>
      </c>
      <c r="C68" s="448">
        <f t="shared" ref="C68:Y68" si="5">AVERAGE(C5:C66)</f>
        <v>33.880500959898676</v>
      </c>
      <c r="D68" s="449">
        <f t="shared" si="5"/>
        <v>1024070.9838709678</v>
      </c>
      <c r="E68" s="448">
        <f t="shared" si="5"/>
        <v>0.59993247203075994</v>
      </c>
      <c r="F68" s="449">
        <f t="shared" si="5"/>
        <v>30157.403225806451</v>
      </c>
      <c r="G68" s="448">
        <f t="shared" si="5"/>
        <v>2.0183942655355564E-3</v>
      </c>
      <c r="H68" s="449">
        <f t="shared" si="5"/>
        <v>327783.11290322582</v>
      </c>
      <c r="I68" s="448">
        <f t="shared" si="5"/>
        <v>0.19433397331868954</v>
      </c>
      <c r="J68" s="449">
        <f t="shared" si="5"/>
        <v>246529.96774193548</v>
      </c>
      <c r="K68" s="1774">
        <f t="shared" si="5"/>
        <v>0.14146962116728309</v>
      </c>
      <c r="L68" s="447">
        <f t="shared" si="5"/>
        <v>9119174.3225806449</v>
      </c>
      <c r="M68" s="448">
        <f t="shared" si="5"/>
        <v>5.3254187148269434</v>
      </c>
      <c r="N68" s="449">
        <f t="shared" si="5"/>
        <v>56685.796296296299</v>
      </c>
      <c r="O68" s="448">
        <f t="shared" si="5"/>
        <v>2.4747781069503934E-2</v>
      </c>
      <c r="P68" s="449">
        <f t="shared" si="5"/>
        <v>463769.6551724138</v>
      </c>
      <c r="Q68" s="448">
        <f t="shared" si="5"/>
        <v>0.37931034482758619</v>
      </c>
      <c r="R68" s="449">
        <f t="shared" ref="R68:S68" si="6">AVERAGE(R5:R66)</f>
        <v>1642.0185185185185</v>
      </c>
      <c r="S68" s="448">
        <f t="shared" si="6"/>
        <v>2.7921563034081647E-5</v>
      </c>
      <c r="T68" s="449">
        <f t="shared" si="5"/>
        <v>114916.85483870968</v>
      </c>
      <c r="U68" s="448">
        <f t="shared" si="5"/>
        <v>7.5107806075492875E-2</v>
      </c>
      <c r="V68" s="449">
        <f t="shared" ref="V68:W68" si="7">AVERAGE(V5:V66)</f>
        <v>892683.75806451612</v>
      </c>
      <c r="W68" s="1774">
        <f t="shared" si="7"/>
        <v>0.5166659870022805</v>
      </c>
      <c r="X68" s="450">
        <f t="shared" si="5"/>
        <v>419776.08064516127</v>
      </c>
      <c r="Y68" s="448">
        <f t="shared" si="5"/>
        <v>0.24267298358008657</v>
      </c>
      <c r="Z68" s="451">
        <f>AVERAGE(Z5:Z66)</f>
        <v>16133365.467741935</v>
      </c>
      <c r="AA68" s="421">
        <f t="shared" ref="AA68:AH68" si="8">AVERAGE(AA5:AA66)</f>
        <v>10.046762717628379</v>
      </c>
      <c r="AB68" s="420">
        <f t="shared" si="8"/>
        <v>15156131.066666666</v>
      </c>
      <c r="AC68" s="420">
        <f t="shared" si="8"/>
        <v>1336586.0967741935</v>
      </c>
      <c r="AD68" s="420">
        <f t="shared" si="8"/>
        <v>182545.13636363635</v>
      </c>
      <c r="AE68" s="420">
        <f t="shared" si="8"/>
        <v>49075.177419354841</v>
      </c>
      <c r="AF68" s="421">
        <f t="shared" si="8"/>
        <v>8.1784941613403559E-4</v>
      </c>
      <c r="AG68" s="470">
        <f t="shared" si="8"/>
        <v>785028.45161290327</v>
      </c>
      <c r="AH68" s="896">
        <f t="shared" si="8"/>
        <v>0.46053482526024031</v>
      </c>
      <c r="AI68" s="419">
        <f t="shared" ref="AI68:AP68" si="9">AVERAGE(AI5:AI66)</f>
        <v>1961437.935483871</v>
      </c>
      <c r="AJ68" s="421">
        <f t="shared" si="9"/>
        <v>1.1211053113495641</v>
      </c>
      <c r="AK68" s="420">
        <f t="shared" si="9"/>
        <v>815947.01612903224</v>
      </c>
      <c r="AL68" s="421">
        <f t="shared" si="9"/>
        <v>0.48465386777810848</v>
      </c>
      <c r="AM68" s="420">
        <f t="shared" si="9"/>
        <v>40450555.258064516</v>
      </c>
      <c r="AN68" s="421">
        <f t="shared" si="9"/>
        <v>23.474210518152017</v>
      </c>
      <c r="AO68" s="470">
        <f t="shared" si="9"/>
        <v>117137.84444444445</v>
      </c>
      <c r="AP68" s="897">
        <f t="shared" si="9"/>
        <v>7.3117907719924102E-2</v>
      </c>
      <c r="AQ68" s="452">
        <f>AVERAGE(AQ5:AQ66)</f>
        <v>12420693.5</v>
      </c>
      <c r="AR68" s="453">
        <f t="shared" ref="AR68:BE68" si="10">AVERAGE(AR5:AR66)</f>
        <v>7.2553836566414294</v>
      </c>
      <c r="AS68" s="454">
        <f t="shared" si="10"/>
        <v>694366.96774193551</v>
      </c>
      <c r="AT68" s="453">
        <f t="shared" si="10"/>
        <v>0.38499217349436654</v>
      </c>
      <c r="AU68" s="454">
        <f t="shared" si="10"/>
        <v>910298.45161290327</v>
      </c>
      <c r="AV68" s="453">
        <f t="shared" si="10"/>
        <v>0.58324197029151348</v>
      </c>
      <c r="AW68" s="898">
        <f t="shared" si="10"/>
        <v>3705905.8225806453</v>
      </c>
      <c r="AX68" s="899">
        <f t="shared" si="10"/>
        <v>2.0916581794421165</v>
      </c>
      <c r="AY68" s="452">
        <f t="shared" si="10"/>
        <v>5642097.7096774196</v>
      </c>
      <c r="AZ68" s="453">
        <f t="shared" si="10"/>
        <v>3.3064104976218749</v>
      </c>
      <c r="BA68" s="454">
        <f t="shared" si="10"/>
        <v>5987939.0806451617</v>
      </c>
      <c r="BB68" s="453">
        <f t="shared" si="10"/>
        <v>3.5542352246268183</v>
      </c>
      <c r="BC68" s="454">
        <f t="shared" si="10"/>
        <v>10630852.306451613</v>
      </c>
      <c r="BD68" s="455">
        <f t="shared" si="10"/>
        <v>6.1815868718669646</v>
      </c>
      <c r="BE68" s="901">
        <f t="shared" si="10"/>
        <v>171513453.72580644</v>
      </c>
      <c r="BF68" s="902" t="s">
        <v>153</v>
      </c>
    </row>
    <row r="69" spans="1:59" ht="15.6">
      <c r="A69" s="442" t="s">
        <v>246</v>
      </c>
      <c r="B69" s="443"/>
      <c r="C69" s="456"/>
      <c r="D69" s="457"/>
      <c r="E69" s="456"/>
      <c r="F69" s="457"/>
      <c r="G69" s="456"/>
      <c r="H69" s="457"/>
      <c r="I69" s="456"/>
      <c r="J69" s="457"/>
      <c r="K69" s="456"/>
      <c r="L69" s="443"/>
      <c r="M69" s="446"/>
      <c r="N69" s="443"/>
      <c r="O69" s="446"/>
      <c r="P69" s="443"/>
      <c r="Q69" s="446"/>
      <c r="R69" s="458"/>
      <c r="S69" s="459"/>
      <c r="T69" s="458"/>
      <c r="U69" s="459"/>
      <c r="V69" s="458"/>
      <c r="W69" s="459"/>
      <c r="X69" s="458"/>
      <c r="Y69" s="459"/>
      <c r="Z69" s="460"/>
      <c r="AA69" s="461"/>
      <c r="AB69" s="443"/>
      <c r="AC69" s="443"/>
      <c r="AD69" s="460"/>
      <c r="AE69" s="460"/>
      <c r="AF69" s="461"/>
      <c r="AG69" s="460"/>
      <c r="AH69" s="459"/>
      <c r="AI69" s="457"/>
      <c r="AJ69" s="456"/>
      <c r="AK69" s="457"/>
      <c r="AL69" s="456"/>
      <c r="AM69" s="457"/>
      <c r="AN69" s="456"/>
      <c r="AO69" s="462"/>
      <c r="AP69" s="463"/>
      <c r="AQ69" s="464"/>
      <c r="AR69" s="465"/>
      <c r="AS69" s="464"/>
      <c r="AT69" s="465"/>
      <c r="AU69" s="464"/>
      <c r="AV69" s="465"/>
      <c r="AW69" s="464"/>
      <c r="AX69" s="465"/>
      <c r="AY69" s="457"/>
      <c r="AZ69" s="456"/>
      <c r="BA69" s="457"/>
      <c r="BB69" s="456"/>
      <c r="BC69" s="457"/>
      <c r="BD69" s="456"/>
      <c r="BE69" s="457"/>
      <c r="BF69" s="456"/>
    </row>
    <row r="131" spans="2:59" ht="28.5" customHeight="1">
      <c r="B131" s="2228"/>
      <c r="C131" s="2228"/>
      <c r="D131" s="2228"/>
      <c r="E131" s="2228"/>
      <c r="F131" s="2228"/>
      <c r="G131" s="2228"/>
      <c r="H131" s="2228"/>
      <c r="I131" s="2228"/>
      <c r="J131" s="2228"/>
      <c r="K131" s="2228"/>
      <c r="L131" s="1959"/>
      <c r="M131" s="1959"/>
      <c r="N131" s="1959"/>
      <c r="O131" s="1959"/>
      <c r="P131" s="1959"/>
      <c r="Q131" s="1959"/>
      <c r="R131" s="1959"/>
      <c r="S131" s="1959"/>
      <c r="T131" s="1959"/>
      <c r="U131" s="1959"/>
      <c r="V131" s="1959"/>
      <c r="W131" s="1959"/>
      <c r="X131" s="1959"/>
      <c r="Y131" s="1959"/>
      <c r="Z131" s="1959"/>
      <c r="AA131" s="1959"/>
      <c r="AB131" s="1959"/>
      <c r="AC131" s="1959"/>
      <c r="AD131" s="1959"/>
      <c r="AE131" s="1959"/>
      <c r="AF131" s="1959"/>
      <c r="AG131" s="1959"/>
      <c r="AH131" s="1959"/>
      <c r="AI131" s="2228"/>
      <c r="AJ131" s="2228"/>
      <c r="AK131" s="2228"/>
      <c r="AL131" s="2228"/>
      <c r="AM131" s="2228"/>
      <c r="AN131" s="2228"/>
      <c r="AO131" s="2228"/>
      <c r="AP131" s="2228"/>
      <c r="AQ131" s="1959"/>
      <c r="AR131" s="1959"/>
      <c r="AS131" s="1959"/>
      <c r="AT131" s="1959"/>
      <c r="AU131" s="1959"/>
      <c r="AV131" s="1959"/>
      <c r="AW131" s="1959"/>
      <c r="AX131" s="1959"/>
      <c r="AY131" s="1959"/>
      <c r="AZ131" s="1959"/>
      <c r="BA131" s="1959"/>
      <c r="BB131" s="1959"/>
      <c r="BC131" s="1959"/>
      <c r="BD131" s="1959"/>
      <c r="BE131" s="1959"/>
      <c r="BF131" s="1959"/>
      <c r="BG131" s="1959"/>
    </row>
  </sheetData>
  <customSheetViews>
    <customSheetView guid="{CFB8F6A3-286B-44DA-98E2-E06FA9DC17D9}" scale="90" showGridLines="0">
      <pane xSplit="1" ySplit="6" topLeftCell="B43" activePane="bottomRight" state="frozen"/>
      <selection pane="bottomRight" activeCell="A7" sqref="A7:A54"/>
      <colBreaks count="5" manualBreakCount="5">
        <brk id="11" max="70" man="1"/>
        <brk id="22" max="70" man="1"/>
        <brk id="32" max="70" man="1"/>
        <brk id="41" max="70" man="1"/>
        <brk id="50" max="70" man="1"/>
      </colBreaks>
      <pageMargins left="0" right="0" top="0" bottom="0" header="0" footer="0"/>
      <pageSetup paperSize="9" scale="80" firstPageNumber="12" fitToWidth="0" orientation="portrait" useFirstPageNumber="1" r:id="rId1"/>
      <headerFooter alignWithMargins="0"/>
    </customSheetView>
    <customSheetView guid="{429188B7-F8E8-41E0-BAA6-8F869C883D4F}" scale="70" showGridLines="0">
      <pane xSplit="1" ySplit="6" topLeftCell="B7" activePane="bottomRight" state="frozen"/>
      <selection pane="bottomRight" activeCell="A2" sqref="A2"/>
      <colBreaks count="5" manualBreakCount="5">
        <brk id="11" min="2" max="72" man="1"/>
        <brk id="21" min="2" max="72" man="1"/>
        <brk id="30" min="2" max="72" man="1"/>
        <brk id="38" min="2" max="72" man="1"/>
        <brk id="46" min="2" max="72" man="1"/>
      </colBreaks>
      <pageMargins left="0" right="0" top="0" bottom="0" header="0" footer="0"/>
      <pageSetup paperSize="8" firstPageNumber="12" fitToWidth="0" orientation="portrait" r:id="rId2"/>
      <headerFooter alignWithMargins="0">
        <oddHeader>&amp;L&amp;"ＭＳ Ｐゴシック,太字"&amp;16ⅱ　歳入内訳（款別）
（平成30年度）</oddHeader>
      </headerFooter>
    </customSheetView>
  </customSheetViews>
  <mergeCells count="36">
    <mergeCell ref="B131:K131"/>
    <mergeCell ref="L131:Y131"/>
    <mergeCell ref="Z131:AH131"/>
    <mergeCell ref="AI131:AP131"/>
    <mergeCell ref="Z1:AA2"/>
    <mergeCell ref="AO1:AP1"/>
    <mergeCell ref="AM1:AN2"/>
    <mergeCell ref="AK1:AL2"/>
    <mergeCell ref="AO2:AP2"/>
    <mergeCell ref="P2:Q2"/>
    <mergeCell ref="AB1:AD2"/>
    <mergeCell ref="AI1:AJ2"/>
    <mergeCell ref="X1:Y2"/>
    <mergeCell ref="L1:M2"/>
    <mergeCell ref="N1:O2"/>
    <mergeCell ref="T1:U2"/>
    <mergeCell ref="AQ131:AX131"/>
    <mergeCell ref="AY131:BG131"/>
    <mergeCell ref="AY1:AZ2"/>
    <mergeCell ref="BA1:BB2"/>
    <mergeCell ref="BC1:BD2"/>
    <mergeCell ref="BE1:BF2"/>
    <mergeCell ref="AQ1:AR2"/>
    <mergeCell ref="AS1:AT2"/>
    <mergeCell ref="AU1:AV2"/>
    <mergeCell ref="AW1:AX2"/>
    <mergeCell ref="P1:Q1"/>
    <mergeCell ref="AG1:AH2"/>
    <mergeCell ref="AE1:AF2"/>
    <mergeCell ref="R1:S2"/>
    <mergeCell ref="V1:W2"/>
    <mergeCell ref="B1:C2"/>
    <mergeCell ref="D1:E2"/>
    <mergeCell ref="J1:K2"/>
    <mergeCell ref="H1:I2"/>
    <mergeCell ref="F1:G2"/>
  </mergeCells>
  <phoneticPr fontId="2"/>
  <dataValidations count="1">
    <dataValidation imeMode="disabled" allowBlank="1" showInputMessage="1" showErrorMessage="1" sqref="B5:BF66" xr:uid="{00000000-0002-0000-0A00-000000000000}"/>
  </dataValidations>
  <pageMargins left="0.74803149606299213" right="0.23622047244094491" top="1.1023622047244095" bottom="0.39370078740157483" header="0.59055118110236227" footer="0.31496062992125984"/>
  <pageSetup paperSize="9" scale="65" firstPageNumber="12" fitToWidth="0" orientation="portrait" r:id="rId3"/>
  <headerFooter alignWithMargins="0">
    <oddHeader xml:space="preserve">&amp;L&amp;"ＭＳ Ｐゴシック,太字"&amp;16&amp;K01+000ⅱ　歳入内訳（款別）
（令和４年度）&amp;"ＭＳ Ｐゴシック,標準"&amp;11
</oddHeader>
  </headerFooter>
  <colBreaks count="5" manualBreakCount="5">
    <brk id="11" max="68" man="1"/>
    <brk id="23" max="68" man="1"/>
    <brk id="34" max="68" man="1"/>
    <brk id="42" max="68" man="1"/>
    <brk id="50" max="68" man="1"/>
  </col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F131"/>
  <sheetViews>
    <sheetView showGridLines="0" view="pageBreakPreview" zoomScaleNormal="70" zoomScaleSheetLayoutView="100" workbookViewId="0">
      <pane xSplit="1" ySplit="4" topLeftCell="B5" activePane="bottomRight" state="frozen"/>
      <selection pane="topRight" activeCell="J20" sqref="J19:J20"/>
      <selection pane="bottomLeft" activeCell="J20" sqref="J19:J20"/>
      <selection pane="bottomRight" activeCell="AD69" sqref="AD69"/>
    </sheetView>
  </sheetViews>
  <sheetFormatPr defaultRowHeight="13.2"/>
  <cols>
    <col min="1" max="1" width="12.88671875" customWidth="1"/>
    <col min="2" max="2" width="16.21875" customWidth="1"/>
    <col min="3" max="3" width="7.44140625" customWidth="1"/>
    <col min="4" max="4" width="16.21875" customWidth="1"/>
    <col min="5" max="5" width="7.44140625" customWidth="1"/>
    <col min="6" max="6" width="16.21875" customWidth="1"/>
    <col min="7" max="7" width="7.44140625" customWidth="1"/>
    <col min="8" max="8" width="16.21875" customWidth="1"/>
    <col min="9" max="9" width="7.44140625" customWidth="1"/>
    <col min="10" max="10" width="16.21875" customWidth="1"/>
    <col min="11" max="11" width="7.44140625" customWidth="1"/>
    <col min="12" max="12" width="16.21875" customWidth="1"/>
    <col min="13" max="13" width="7.44140625" customWidth="1"/>
    <col min="14" max="14" width="16.21875" customWidth="1"/>
    <col min="15" max="15" width="7.44140625" customWidth="1"/>
    <col min="16" max="16" width="16.21875" customWidth="1"/>
    <col min="17" max="17" width="7.44140625" customWidth="1"/>
    <col min="18" max="18" width="16.21875" customWidth="1"/>
    <col min="19" max="19" width="7.44140625" customWidth="1"/>
    <col min="20" max="20" width="16.21875" customWidth="1"/>
    <col min="21" max="21" width="7.44140625" customWidth="1"/>
    <col min="22" max="22" width="16.21875" customWidth="1"/>
    <col min="23" max="23" width="7.44140625" customWidth="1"/>
    <col min="24" max="24" width="16.21875" customWidth="1"/>
    <col min="25" max="25" width="7.44140625" customWidth="1"/>
    <col min="26" max="26" width="16.21875" customWidth="1"/>
    <col min="27" max="27" width="7.44140625" customWidth="1"/>
    <col min="28" max="28" width="15" customWidth="1"/>
    <col min="29" max="29" width="7.44140625" customWidth="1"/>
    <col min="30" max="30" width="25.88671875" customWidth="1"/>
    <col min="31" max="31" width="15" customWidth="1"/>
    <col min="32" max="32" width="11.33203125" bestFit="1" customWidth="1"/>
  </cols>
  <sheetData>
    <row r="1" spans="1:32" ht="18" customHeight="1">
      <c r="A1" s="33" t="s">
        <v>395</v>
      </c>
      <c r="B1" s="2138" t="s">
        <v>639</v>
      </c>
      <c r="C1" s="2200"/>
      <c r="D1" s="2200" t="s">
        <v>640</v>
      </c>
      <c r="E1" s="2200"/>
      <c r="F1" s="2200" t="s">
        <v>641</v>
      </c>
      <c r="G1" s="2200"/>
      <c r="H1" s="2200" t="s">
        <v>642</v>
      </c>
      <c r="I1" s="2226"/>
      <c r="J1" s="2222" t="s">
        <v>643</v>
      </c>
      <c r="K1" s="2200"/>
      <c r="L1" s="2200" t="s">
        <v>644</v>
      </c>
      <c r="M1" s="2200"/>
      <c r="N1" s="2200" t="s">
        <v>645</v>
      </c>
      <c r="O1" s="2200"/>
      <c r="P1" s="2200" t="s">
        <v>646</v>
      </c>
      <c r="Q1" s="2226"/>
      <c r="R1" s="2222" t="s">
        <v>647</v>
      </c>
      <c r="S1" s="2200"/>
      <c r="T1" s="2200" t="s">
        <v>648</v>
      </c>
      <c r="U1" s="2200"/>
      <c r="V1" s="2200" t="s">
        <v>649</v>
      </c>
      <c r="W1" s="2200"/>
      <c r="X1" s="2200" t="s">
        <v>650</v>
      </c>
      <c r="Y1" s="2226"/>
      <c r="Z1" s="2222" t="s">
        <v>651</v>
      </c>
      <c r="AA1" s="2200"/>
      <c r="AB1" s="2200" t="s">
        <v>652</v>
      </c>
      <c r="AC1" s="2163"/>
      <c r="AD1" s="2247" t="s">
        <v>653</v>
      </c>
      <c r="AE1" s="2248"/>
    </row>
    <row r="2" spans="1:32" ht="18" customHeight="1">
      <c r="A2" s="40"/>
      <c r="B2" s="2164"/>
      <c r="C2" s="2116"/>
      <c r="D2" s="2116"/>
      <c r="E2" s="2116"/>
      <c r="F2" s="2116"/>
      <c r="G2" s="2116"/>
      <c r="H2" s="2116"/>
      <c r="I2" s="2206"/>
      <c r="J2" s="2033"/>
      <c r="K2" s="2116"/>
      <c r="L2" s="2116"/>
      <c r="M2" s="2116"/>
      <c r="N2" s="2116"/>
      <c r="O2" s="2116"/>
      <c r="P2" s="2116"/>
      <c r="Q2" s="2206"/>
      <c r="R2" s="2033"/>
      <c r="S2" s="2116"/>
      <c r="T2" s="2116"/>
      <c r="U2" s="2116"/>
      <c r="V2" s="2116"/>
      <c r="W2" s="2116"/>
      <c r="X2" s="2116"/>
      <c r="Y2" s="2206"/>
      <c r="Z2" s="2033"/>
      <c r="AA2" s="2116"/>
      <c r="AB2" s="2116"/>
      <c r="AC2" s="2126"/>
      <c r="AD2" s="2249"/>
      <c r="AE2" s="2250"/>
    </row>
    <row r="3" spans="1:32" ht="18" customHeight="1">
      <c r="A3" s="400"/>
      <c r="B3" s="4"/>
      <c r="C3" s="405" t="s">
        <v>634</v>
      </c>
      <c r="D3" s="4"/>
      <c r="E3" s="405" t="s">
        <v>634</v>
      </c>
      <c r="F3" s="4"/>
      <c r="G3" s="405" t="s">
        <v>634</v>
      </c>
      <c r="H3" s="1756"/>
      <c r="I3" s="407" t="s">
        <v>634</v>
      </c>
      <c r="J3" s="12"/>
      <c r="K3" s="405" t="s">
        <v>634</v>
      </c>
      <c r="L3" s="4"/>
      <c r="M3" s="405" t="s">
        <v>634</v>
      </c>
      <c r="N3" s="4"/>
      <c r="O3" s="405" t="s">
        <v>634</v>
      </c>
      <c r="P3" s="1756"/>
      <c r="Q3" s="408" t="s">
        <v>634</v>
      </c>
      <c r="R3" s="12"/>
      <c r="S3" s="405" t="s">
        <v>634</v>
      </c>
      <c r="T3" s="4"/>
      <c r="U3" s="405" t="s">
        <v>634</v>
      </c>
      <c r="V3" s="4"/>
      <c r="W3" s="405" t="s">
        <v>634</v>
      </c>
      <c r="X3" s="1756"/>
      <c r="Y3" s="407" t="s">
        <v>634</v>
      </c>
      <c r="Z3" s="12"/>
      <c r="AA3" s="405" t="s">
        <v>634</v>
      </c>
      <c r="AB3" s="4"/>
      <c r="AC3" s="403" t="s">
        <v>634</v>
      </c>
      <c r="AD3" s="20"/>
      <c r="AE3" s="407" t="s">
        <v>634</v>
      </c>
    </row>
    <row r="4" spans="1:32" ht="18" customHeight="1">
      <c r="A4" s="42" t="s">
        <v>419</v>
      </c>
      <c r="B4" s="44" t="s">
        <v>598</v>
      </c>
      <c r="C4" s="38" t="s">
        <v>137</v>
      </c>
      <c r="D4" s="38" t="s">
        <v>598</v>
      </c>
      <c r="E4" s="38" t="s">
        <v>137</v>
      </c>
      <c r="F4" s="38" t="s">
        <v>598</v>
      </c>
      <c r="G4" s="38" t="s">
        <v>137</v>
      </c>
      <c r="H4" s="38" t="s">
        <v>598</v>
      </c>
      <c r="I4" s="39" t="s">
        <v>137</v>
      </c>
      <c r="J4" s="44" t="s">
        <v>598</v>
      </c>
      <c r="K4" s="38" t="s">
        <v>137</v>
      </c>
      <c r="L4" s="38" t="s">
        <v>598</v>
      </c>
      <c r="M4" s="38" t="s">
        <v>137</v>
      </c>
      <c r="N4" s="38" t="s">
        <v>598</v>
      </c>
      <c r="O4" s="38" t="s">
        <v>137</v>
      </c>
      <c r="P4" s="38" t="s">
        <v>598</v>
      </c>
      <c r="Q4" s="39" t="s">
        <v>137</v>
      </c>
      <c r="R4" s="44" t="s">
        <v>598</v>
      </c>
      <c r="S4" s="38" t="s">
        <v>137</v>
      </c>
      <c r="T4" s="38" t="s">
        <v>598</v>
      </c>
      <c r="U4" s="38" t="s">
        <v>137</v>
      </c>
      <c r="V4" s="38" t="s">
        <v>598</v>
      </c>
      <c r="W4" s="38" t="s">
        <v>137</v>
      </c>
      <c r="X4" s="38" t="s">
        <v>598</v>
      </c>
      <c r="Y4" s="39" t="s">
        <v>137</v>
      </c>
      <c r="Z4" s="44" t="s">
        <v>598</v>
      </c>
      <c r="AA4" s="38" t="s">
        <v>137</v>
      </c>
      <c r="AB4" s="38" t="s">
        <v>598</v>
      </c>
      <c r="AC4" s="48" t="s">
        <v>137</v>
      </c>
      <c r="AD4" s="52" t="s">
        <v>598</v>
      </c>
      <c r="AE4" s="39" t="s">
        <v>137</v>
      </c>
    </row>
    <row r="5" spans="1:32" ht="15.75" customHeight="1">
      <c r="A5" s="1405" t="s">
        <v>147</v>
      </c>
      <c r="B5" s="140">
        <v>436864</v>
      </c>
      <c r="C5" s="136">
        <v>0.3</v>
      </c>
      <c r="D5" s="141">
        <v>9990507</v>
      </c>
      <c r="E5" s="136">
        <v>6.8</v>
      </c>
      <c r="F5" s="141">
        <v>67578588</v>
      </c>
      <c r="G5" s="136">
        <v>46.1</v>
      </c>
      <c r="H5" s="141">
        <v>12612145</v>
      </c>
      <c r="I5" s="139">
        <v>8.6</v>
      </c>
      <c r="J5" s="140">
        <v>184478</v>
      </c>
      <c r="K5" s="168">
        <v>0.1</v>
      </c>
      <c r="L5" s="153">
        <v>1184517</v>
      </c>
      <c r="M5" s="136">
        <v>0.8</v>
      </c>
      <c r="N5" s="141">
        <v>11719756</v>
      </c>
      <c r="O5" s="136">
        <v>8</v>
      </c>
      <c r="P5" s="1713">
        <v>13408434</v>
      </c>
      <c r="Q5" s="1677">
        <v>9.1999999999999993</v>
      </c>
      <c r="R5" s="140">
        <v>3717489</v>
      </c>
      <c r="S5" s="136">
        <v>2.5</v>
      </c>
      <c r="T5" s="141">
        <v>12728520</v>
      </c>
      <c r="U5" s="136">
        <v>8.6999999999999993</v>
      </c>
      <c r="V5" s="141">
        <v>0</v>
      </c>
      <c r="W5" s="136">
        <v>0</v>
      </c>
      <c r="X5" s="141">
        <v>12396758</v>
      </c>
      <c r="Y5" s="139">
        <v>8.5</v>
      </c>
      <c r="Z5" s="140">
        <v>593649</v>
      </c>
      <c r="AA5" s="136">
        <v>0.4</v>
      </c>
      <c r="AB5" s="141">
        <v>0</v>
      </c>
      <c r="AC5" s="1678">
        <v>0</v>
      </c>
      <c r="AD5" s="175">
        <v>146551705</v>
      </c>
      <c r="AE5" s="1775">
        <v>100</v>
      </c>
      <c r="AF5" s="333"/>
    </row>
    <row r="6" spans="1:32" ht="15.75" customHeight="1">
      <c r="A6" s="320" t="s">
        <v>149</v>
      </c>
      <c r="B6" s="501">
        <v>589337</v>
      </c>
      <c r="C6" s="533">
        <v>0.3</v>
      </c>
      <c r="D6" s="530">
        <v>17552360</v>
      </c>
      <c r="E6" s="533">
        <v>9.3000000000000007</v>
      </c>
      <c r="F6" s="530">
        <v>83330601</v>
      </c>
      <c r="G6" s="533">
        <v>44.2</v>
      </c>
      <c r="H6" s="530">
        <v>17902481</v>
      </c>
      <c r="I6" s="1680">
        <v>9.5</v>
      </c>
      <c r="J6" s="501">
        <v>149516</v>
      </c>
      <c r="K6" s="533">
        <v>0.1</v>
      </c>
      <c r="L6" s="530">
        <v>2403856</v>
      </c>
      <c r="M6" s="533">
        <v>1.3</v>
      </c>
      <c r="N6" s="530">
        <v>12215358</v>
      </c>
      <c r="O6" s="533">
        <v>6.5</v>
      </c>
      <c r="P6" s="1715">
        <v>18251531</v>
      </c>
      <c r="Q6" s="1680">
        <v>9.6999999999999993</v>
      </c>
      <c r="R6" s="501">
        <v>4093146</v>
      </c>
      <c r="S6" s="533">
        <v>2.2000000000000002</v>
      </c>
      <c r="T6" s="530">
        <v>14468248</v>
      </c>
      <c r="U6" s="533">
        <v>7.7</v>
      </c>
      <c r="V6" s="530">
        <v>75</v>
      </c>
      <c r="W6" s="533">
        <v>0</v>
      </c>
      <c r="X6" s="530">
        <v>17424859</v>
      </c>
      <c r="Y6" s="1680">
        <v>9.1999999999999993</v>
      </c>
      <c r="Z6" s="501" t="s">
        <v>148</v>
      </c>
      <c r="AA6" s="533" t="s">
        <v>148</v>
      </c>
      <c r="AB6" s="530" t="s">
        <v>148</v>
      </c>
      <c r="AC6" s="1681" t="s">
        <v>148</v>
      </c>
      <c r="AD6" s="616">
        <f>SUM(B6,D6,F6,H6,J6,L6,N6,P6,R6,T6,V6,X6,Z6,AB6)</f>
        <v>188381368</v>
      </c>
      <c r="AE6" s="1776">
        <f>SUM(C6,E6,G6,I6,K6,M6,O6,Q6,S6,U6,W6,Y6,AA6,AC6)</f>
        <v>100.00000000000001</v>
      </c>
      <c r="AF6" s="333"/>
    </row>
    <row r="7" spans="1:32" ht="15.75" customHeight="1">
      <c r="A7" s="1406" t="s">
        <v>150</v>
      </c>
      <c r="B7" s="238">
        <v>618776</v>
      </c>
      <c r="C7" s="242">
        <v>0.5</v>
      </c>
      <c r="D7" s="241">
        <v>9761184</v>
      </c>
      <c r="E7" s="242">
        <v>7.4</v>
      </c>
      <c r="F7" s="241">
        <v>58669827</v>
      </c>
      <c r="G7" s="242">
        <v>44.4</v>
      </c>
      <c r="H7" s="241">
        <v>10435958</v>
      </c>
      <c r="I7" s="1683">
        <v>7.9</v>
      </c>
      <c r="J7" s="238">
        <v>70429</v>
      </c>
      <c r="K7" s="242">
        <v>0.1</v>
      </c>
      <c r="L7" s="241">
        <v>1449532</v>
      </c>
      <c r="M7" s="242">
        <v>1.1000000000000001</v>
      </c>
      <c r="N7" s="241">
        <v>5316806</v>
      </c>
      <c r="O7" s="242">
        <v>4</v>
      </c>
      <c r="P7" s="1720">
        <v>14109268</v>
      </c>
      <c r="Q7" s="1683">
        <v>10.7</v>
      </c>
      <c r="R7" s="238">
        <v>4134448</v>
      </c>
      <c r="S7" s="242">
        <v>3.1</v>
      </c>
      <c r="T7" s="241">
        <v>13624464</v>
      </c>
      <c r="U7" s="242">
        <v>10.3</v>
      </c>
      <c r="V7" s="241">
        <v>26659</v>
      </c>
      <c r="W7" s="242">
        <v>0</v>
      </c>
      <c r="X7" s="241">
        <v>12925817</v>
      </c>
      <c r="Y7" s="1683">
        <v>9.8000000000000007</v>
      </c>
      <c r="Z7" s="238">
        <v>876385</v>
      </c>
      <c r="AA7" s="242">
        <v>0.7</v>
      </c>
      <c r="AB7" s="241" t="s">
        <v>153</v>
      </c>
      <c r="AC7" s="1684" t="s">
        <v>153</v>
      </c>
      <c r="AD7" s="252">
        <v>132019553</v>
      </c>
      <c r="AE7" s="1775">
        <v>100</v>
      </c>
      <c r="AF7" s="333"/>
    </row>
    <row r="8" spans="1:32" ht="15.75" customHeight="1">
      <c r="A8" s="320" t="s">
        <v>152</v>
      </c>
      <c r="B8" s="103">
        <v>556159</v>
      </c>
      <c r="C8" s="104">
        <v>0.5</v>
      </c>
      <c r="D8" s="105">
        <v>7187363</v>
      </c>
      <c r="E8" s="104">
        <v>6.7</v>
      </c>
      <c r="F8" s="105">
        <v>42921161</v>
      </c>
      <c r="G8" s="104">
        <v>40.200000000000003</v>
      </c>
      <c r="H8" s="105">
        <v>11908256</v>
      </c>
      <c r="I8" s="1694">
        <v>11.2</v>
      </c>
      <c r="J8" s="103">
        <v>136783</v>
      </c>
      <c r="K8" s="104">
        <v>0.1</v>
      </c>
      <c r="L8" s="105">
        <v>1483066</v>
      </c>
      <c r="M8" s="104">
        <v>1.4</v>
      </c>
      <c r="N8" s="105">
        <v>4844022</v>
      </c>
      <c r="O8" s="104">
        <v>4.5</v>
      </c>
      <c r="P8" s="1723">
        <v>12266967</v>
      </c>
      <c r="Q8" s="1694">
        <v>11.5</v>
      </c>
      <c r="R8" s="103">
        <v>3081403</v>
      </c>
      <c r="S8" s="104">
        <v>2.9</v>
      </c>
      <c r="T8" s="105">
        <v>11930062</v>
      </c>
      <c r="U8" s="104">
        <v>11.2</v>
      </c>
      <c r="V8" s="105" t="s">
        <v>153</v>
      </c>
      <c r="W8" s="104" t="s">
        <v>153</v>
      </c>
      <c r="X8" s="105">
        <v>9898807</v>
      </c>
      <c r="Y8" s="1694">
        <v>9.3000000000000007</v>
      </c>
      <c r="Z8" s="103">
        <v>550902</v>
      </c>
      <c r="AA8" s="104">
        <v>0.5</v>
      </c>
      <c r="AB8" s="105" t="s">
        <v>153</v>
      </c>
      <c r="AC8" s="104" t="s">
        <v>153</v>
      </c>
      <c r="AD8" s="122">
        <v>106764951</v>
      </c>
      <c r="AE8" s="1777">
        <v>100</v>
      </c>
      <c r="AF8" s="333"/>
    </row>
    <row r="9" spans="1:32" ht="15.75" customHeight="1">
      <c r="A9" s="1406" t="s">
        <v>154</v>
      </c>
      <c r="B9" s="238">
        <v>628430</v>
      </c>
      <c r="C9" s="242">
        <v>0.5</v>
      </c>
      <c r="D9" s="241">
        <v>11254747</v>
      </c>
      <c r="E9" s="242">
        <v>8.1999999999999993</v>
      </c>
      <c r="F9" s="241">
        <v>54642816</v>
      </c>
      <c r="G9" s="242">
        <v>40</v>
      </c>
      <c r="H9" s="241">
        <v>13178387</v>
      </c>
      <c r="I9" s="1683">
        <v>9.6</v>
      </c>
      <c r="J9" s="238">
        <v>201487</v>
      </c>
      <c r="K9" s="242">
        <v>0.1</v>
      </c>
      <c r="L9" s="241">
        <v>2245059</v>
      </c>
      <c r="M9" s="242">
        <v>1.6</v>
      </c>
      <c r="N9" s="241">
        <v>3224996</v>
      </c>
      <c r="O9" s="242">
        <v>2.4</v>
      </c>
      <c r="P9" s="1720">
        <v>18125961</v>
      </c>
      <c r="Q9" s="1683">
        <v>13.3</v>
      </c>
      <c r="R9" s="238">
        <v>4346205</v>
      </c>
      <c r="S9" s="242">
        <v>3.2</v>
      </c>
      <c r="T9" s="241">
        <v>15801389</v>
      </c>
      <c r="U9" s="242">
        <v>11.6</v>
      </c>
      <c r="V9" s="241">
        <v>70691</v>
      </c>
      <c r="W9" s="242">
        <v>0.1</v>
      </c>
      <c r="X9" s="241">
        <v>12856990</v>
      </c>
      <c r="Y9" s="1683">
        <v>9.4</v>
      </c>
      <c r="Z9" s="238" t="s">
        <v>153</v>
      </c>
      <c r="AA9" s="242" t="s">
        <v>153</v>
      </c>
      <c r="AB9" s="242" t="s">
        <v>153</v>
      </c>
      <c r="AC9" s="1720" t="s">
        <v>153</v>
      </c>
      <c r="AD9" s="252">
        <v>136577158</v>
      </c>
      <c r="AE9" s="1775">
        <v>100</v>
      </c>
      <c r="AF9" s="333"/>
    </row>
    <row r="10" spans="1:32" ht="15.75" customHeight="1">
      <c r="A10" s="320" t="s">
        <v>155</v>
      </c>
      <c r="B10" s="103">
        <v>647295</v>
      </c>
      <c r="C10" s="104">
        <v>0.4</v>
      </c>
      <c r="D10" s="105">
        <v>15190469</v>
      </c>
      <c r="E10" s="104">
        <v>10.1</v>
      </c>
      <c r="F10" s="105">
        <v>55466099</v>
      </c>
      <c r="G10" s="104">
        <v>37</v>
      </c>
      <c r="H10" s="105">
        <v>14500545</v>
      </c>
      <c r="I10" s="1694">
        <v>9.6999999999999993</v>
      </c>
      <c r="J10" s="103">
        <v>725058</v>
      </c>
      <c r="K10" s="104">
        <v>0.5</v>
      </c>
      <c r="L10" s="105">
        <v>3068955</v>
      </c>
      <c r="M10" s="104">
        <v>2</v>
      </c>
      <c r="N10" s="105">
        <v>9563489</v>
      </c>
      <c r="O10" s="104">
        <v>6.4</v>
      </c>
      <c r="P10" s="1723">
        <v>17222434</v>
      </c>
      <c r="Q10" s="1694">
        <v>11.5</v>
      </c>
      <c r="R10" s="103">
        <v>4442380</v>
      </c>
      <c r="S10" s="104">
        <v>3</v>
      </c>
      <c r="T10" s="105">
        <v>15087219</v>
      </c>
      <c r="U10" s="104">
        <v>10.1</v>
      </c>
      <c r="V10" s="105">
        <v>171785</v>
      </c>
      <c r="W10" s="104">
        <v>0.1</v>
      </c>
      <c r="X10" s="105">
        <v>13734074</v>
      </c>
      <c r="Y10" s="1694">
        <v>9.1999999999999993</v>
      </c>
      <c r="Z10" s="103">
        <v>2993</v>
      </c>
      <c r="AA10" s="104">
        <v>0</v>
      </c>
      <c r="AB10" s="105" t="s">
        <v>148</v>
      </c>
      <c r="AC10" s="1695" t="s">
        <v>148</v>
      </c>
      <c r="AD10" s="122">
        <v>149822795</v>
      </c>
      <c r="AE10" s="1777">
        <v>100</v>
      </c>
      <c r="AF10" s="333"/>
    </row>
    <row r="11" spans="1:32" ht="15.75" customHeight="1">
      <c r="A11" s="236" t="s">
        <v>156</v>
      </c>
      <c r="B11" s="238">
        <v>652743</v>
      </c>
      <c r="C11" s="242">
        <v>0.6</v>
      </c>
      <c r="D11" s="241">
        <v>13208356</v>
      </c>
      <c r="E11" s="242">
        <v>11.4</v>
      </c>
      <c r="F11" s="241">
        <v>40834017</v>
      </c>
      <c r="G11" s="242">
        <v>35.1</v>
      </c>
      <c r="H11" s="241">
        <v>11121940</v>
      </c>
      <c r="I11" s="1683">
        <v>9.6</v>
      </c>
      <c r="J11" s="238">
        <v>484739</v>
      </c>
      <c r="K11" s="242">
        <v>0.4</v>
      </c>
      <c r="L11" s="241">
        <v>2021013</v>
      </c>
      <c r="M11" s="242">
        <v>1.7</v>
      </c>
      <c r="N11" s="241">
        <v>7263815</v>
      </c>
      <c r="O11" s="242">
        <v>6.2</v>
      </c>
      <c r="P11" s="1720">
        <v>12702897</v>
      </c>
      <c r="Q11" s="1683">
        <v>10.9</v>
      </c>
      <c r="R11" s="238">
        <v>3351270</v>
      </c>
      <c r="S11" s="242">
        <v>2.9</v>
      </c>
      <c r="T11" s="241">
        <v>16314973</v>
      </c>
      <c r="U11" s="242">
        <v>14</v>
      </c>
      <c r="V11" s="241">
        <v>38047</v>
      </c>
      <c r="W11" s="242">
        <v>0</v>
      </c>
      <c r="X11" s="241">
        <v>8403490</v>
      </c>
      <c r="Y11" s="1683">
        <v>7.2</v>
      </c>
      <c r="Z11" s="238" t="s">
        <v>153</v>
      </c>
      <c r="AA11" s="242" t="s">
        <v>153</v>
      </c>
      <c r="AB11" s="242" t="s">
        <v>153</v>
      </c>
      <c r="AC11" s="1720" t="s">
        <v>153</v>
      </c>
      <c r="AD11" s="252">
        <v>116397300</v>
      </c>
      <c r="AE11" s="1775">
        <v>100.00000000000001</v>
      </c>
      <c r="AF11" s="333"/>
    </row>
    <row r="12" spans="1:32" ht="15.75" customHeight="1">
      <c r="A12" s="320" t="s">
        <v>157</v>
      </c>
      <c r="B12" s="627">
        <v>635138</v>
      </c>
      <c r="C12" s="630">
        <v>0.5</v>
      </c>
      <c r="D12" s="628">
        <v>15294883</v>
      </c>
      <c r="E12" s="630">
        <v>12.3</v>
      </c>
      <c r="F12" s="628">
        <v>48027709</v>
      </c>
      <c r="G12" s="630">
        <v>38.5</v>
      </c>
      <c r="H12" s="628">
        <v>14266900</v>
      </c>
      <c r="I12" s="1685">
        <v>11.4</v>
      </c>
      <c r="J12" s="627">
        <v>242411</v>
      </c>
      <c r="K12" s="630">
        <v>0.2</v>
      </c>
      <c r="L12" s="628">
        <v>1816683</v>
      </c>
      <c r="M12" s="630">
        <v>1.5</v>
      </c>
      <c r="N12" s="628">
        <v>4498702</v>
      </c>
      <c r="O12" s="630">
        <v>3.6</v>
      </c>
      <c r="P12" s="1379">
        <v>14070212</v>
      </c>
      <c r="Q12" s="1685">
        <v>11.3</v>
      </c>
      <c r="R12" s="627">
        <v>3053922</v>
      </c>
      <c r="S12" s="630">
        <v>2.5</v>
      </c>
      <c r="T12" s="628">
        <v>13151940</v>
      </c>
      <c r="U12" s="630">
        <v>10.5</v>
      </c>
      <c r="V12" s="628">
        <v>392497</v>
      </c>
      <c r="W12" s="630">
        <v>0.3</v>
      </c>
      <c r="X12" s="628">
        <v>9258835</v>
      </c>
      <c r="Y12" s="1685">
        <v>7.4</v>
      </c>
      <c r="Z12" s="627" t="s">
        <v>148</v>
      </c>
      <c r="AA12" s="630" t="s">
        <v>148</v>
      </c>
      <c r="AB12" s="630" t="s">
        <v>148</v>
      </c>
      <c r="AC12" s="628" t="s">
        <v>148</v>
      </c>
      <c r="AD12" s="637">
        <v>124709832</v>
      </c>
      <c r="AE12" s="1691">
        <v>100</v>
      </c>
      <c r="AF12" s="333"/>
    </row>
    <row r="13" spans="1:32" ht="15.75" customHeight="1">
      <c r="A13" s="236" t="s">
        <v>158</v>
      </c>
      <c r="B13" s="238">
        <v>627765</v>
      </c>
      <c r="C13" s="242">
        <v>0.4</v>
      </c>
      <c r="D13" s="241">
        <v>17944873</v>
      </c>
      <c r="E13" s="242">
        <v>12.1</v>
      </c>
      <c r="F13" s="241">
        <v>49815494</v>
      </c>
      <c r="G13" s="242">
        <v>33.5</v>
      </c>
      <c r="H13" s="241">
        <v>21192901</v>
      </c>
      <c r="I13" s="1683">
        <v>14.2</v>
      </c>
      <c r="J13" s="238">
        <v>165147</v>
      </c>
      <c r="K13" s="242">
        <v>0.1</v>
      </c>
      <c r="L13" s="241">
        <v>3561729</v>
      </c>
      <c r="M13" s="242">
        <v>2.4</v>
      </c>
      <c r="N13" s="241">
        <v>6822499</v>
      </c>
      <c r="O13" s="242">
        <v>4.5999999999999996</v>
      </c>
      <c r="P13" s="1720">
        <v>18123183</v>
      </c>
      <c r="Q13" s="1683">
        <v>12.2</v>
      </c>
      <c r="R13" s="238">
        <v>3765471</v>
      </c>
      <c r="S13" s="242">
        <v>2.5</v>
      </c>
      <c r="T13" s="241">
        <v>16532469</v>
      </c>
      <c r="U13" s="242">
        <v>11.1</v>
      </c>
      <c r="V13" s="241">
        <v>1806967</v>
      </c>
      <c r="W13" s="242">
        <v>1.2</v>
      </c>
      <c r="X13" s="241">
        <v>8437658</v>
      </c>
      <c r="Y13" s="1683">
        <v>5.7</v>
      </c>
      <c r="Z13" s="238">
        <v>0</v>
      </c>
      <c r="AA13" s="242" t="s">
        <v>153</v>
      </c>
      <c r="AB13" s="242">
        <v>0</v>
      </c>
      <c r="AC13" s="1720" t="s">
        <v>153</v>
      </c>
      <c r="AD13" s="252">
        <v>148796156</v>
      </c>
      <c r="AE13" s="1775">
        <v>100</v>
      </c>
      <c r="AF13" s="333"/>
    </row>
    <row r="14" spans="1:32" ht="15.75" customHeight="1">
      <c r="A14" s="320" t="s">
        <v>160</v>
      </c>
      <c r="B14" s="103">
        <v>675472</v>
      </c>
      <c r="C14" s="104">
        <v>0.4</v>
      </c>
      <c r="D14" s="105">
        <v>21014477</v>
      </c>
      <c r="E14" s="104">
        <v>13.5</v>
      </c>
      <c r="F14" s="105">
        <v>54816892</v>
      </c>
      <c r="G14" s="104">
        <v>35.299999999999997</v>
      </c>
      <c r="H14" s="105">
        <v>18252739</v>
      </c>
      <c r="I14" s="1694">
        <v>11.8</v>
      </c>
      <c r="J14" s="103">
        <v>111912</v>
      </c>
      <c r="K14" s="104">
        <v>0.1</v>
      </c>
      <c r="L14" s="105">
        <v>3179562</v>
      </c>
      <c r="M14" s="104">
        <v>2</v>
      </c>
      <c r="N14" s="105">
        <v>4553892</v>
      </c>
      <c r="O14" s="104">
        <v>2.9</v>
      </c>
      <c r="P14" s="1723">
        <v>19660123</v>
      </c>
      <c r="Q14" s="1694">
        <v>12.7</v>
      </c>
      <c r="R14" s="103">
        <v>4579312</v>
      </c>
      <c r="S14" s="104">
        <v>2.9</v>
      </c>
      <c r="T14" s="105">
        <v>15108936</v>
      </c>
      <c r="U14" s="104">
        <v>9.6999999999999993</v>
      </c>
      <c r="V14" s="105">
        <v>660073</v>
      </c>
      <c r="W14" s="104">
        <v>0.4</v>
      </c>
      <c r="X14" s="105">
        <v>12710210</v>
      </c>
      <c r="Y14" s="1694">
        <v>8.1999999999999993</v>
      </c>
      <c r="Z14" s="103" t="s">
        <v>148</v>
      </c>
      <c r="AA14" s="104" t="s">
        <v>148</v>
      </c>
      <c r="AB14" s="104" t="s">
        <v>148</v>
      </c>
      <c r="AC14" s="1723" t="s">
        <v>148</v>
      </c>
      <c r="AD14" s="122">
        <v>155323600</v>
      </c>
      <c r="AE14" s="1777">
        <v>100</v>
      </c>
      <c r="AF14" s="333"/>
    </row>
    <row r="15" spans="1:32" ht="15.75" customHeight="1">
      <c r="A15" s="236" t="s">
        <v>162</v>
      </c>
      <c r="B15" s="238">
        <v>501673</v>
      </c>
      <c r="C15" s="242">
        <v>0.4</v>
      </c>
      <c r="D15" s="241">
        <v>21428691</v>
      </c>
      <c r="E15" s="242">
        <v>15.9</v>
      </c>
      <c r="F15" s="241">
        <v>51098345</v>
      </c>
      <c r="G15" s="242">
        <v>37.799999999999997</v>
      </c>
      <c r="H15" s="241">
        <v>10593537</v>
      </c>
      <c r="I15" s="1683">
        <v>7.8</v>
      </c>
      <c r="J15" s="238">
        <v>46711</v>
      </c>
      <c r="K15" s="242">
        <v>0</v>
      </c>
      <c r="L15" s="241">
        <v>2283778</v>
      </c>
      <c r="M15" s="242">
        <v>1.7</v>
      </c>
      <c r="N15" s="241">
        <v>1745605</v>
      </c>
      <c r="O15" s="242">
        <v>1.3</v>
      </c>
      <c r="P15" s="1720">
        <v>18481417</v>
      </c>
      <c r="Q15" s="1683">
        <v>13.7</v>
      </c>
      <c r="R15" s="238">
        <v>4654602</v>
      </c>
      <c r="S15" s="242">
        <v>3.4</v>
      </c>
      <c r="T15" s="241">
        <v>13808048</v>
      </c>
      <c r="U15" s="242">
        <v>10.199999999999999</v>
      </c>
      <c r="V15" s="241">
        <v>0</v>
      </c>
      <c r="W15" s="242">
        <v>0</v>
      </c>
      <c r="X15" s="241">
        <v>10592707</v>
      </c>
      <c r="Y15" s="1683">
        <v>7.8</v>
      </c>
      <c r="Z15" s="238">
        <v>0</v>
      </c>
      <c r="AA15" s="242">
        <v>0</v>
      </c>
      <c r="AB15" s="242">
        <v>0</v>
      </c>
      <c r="AC15" s="1720">
        <v>0</v>
      </c>
      <c r="AD15" s="252">
        <v>135235114</v>
      </c>
      <c r="AE15" s="1775">
        <v>100</v>
      </c>
      <c r="AF15" s="333"/>
    </row>
    <row r="16" spans="1:32" ht="15.75" customHeight="1">
      <c r="A16" s="320" t="s">
        <v>164</v>
      </c>
      <c r="B16" s="103">
        <v>862813</v>
      </c>
      <c r="C16" s="104">
        <v>0.3</v>
      </c>
      <c r="D16" s="105">
        <v>17140938</v>
      </c>
      <c r="E16" s="104">
        <v>6.6999999999999993</v>
      </c>
      <c r="F16" s="105">
        <v>90531313</v>
      </c>
      <c r="G16" s="104">
        <v>34.6</v>
      </c>
      <c r="H16" s="105">
        <v>24232358</v>
      </c>
      <c r="I16" s="1694">
        <v>9.3000000000000007</v>
      </c>
      <c r="J16" s="103">
        <v>119274</v>
      </c>
      <c r="K16" s="104">
        <v>0</v>
      </c>
      <c r="L16" s="105">
        <v>2426582</v>
      </c>
      <c r="M16" s="104">
        <v>0.9</v>
      </c>
      <c r="N16" s="105">
        <v>23304016</v>
      </c>
      <c r="O16" s="104">
        <v>8.9</v>
      </c>
      <c r="P16" s="1723">
        <v>60985358</v>
      </c>
      <c r="Q16" s="1694">
        <v>23.3</v>
      </c>
      <c r="R16" s="103">
        <v>5573709</v>
      </c>
      <c r="S16" s="104">
        <v>2.1</v>
      </c>
      <c r="T16" s="105">
        <v>22219030</v>
      </c>
      <c r="U16" s="104">
        <v>8.5</v>
      </c>
      <c r="V16" s="105">
        <v>1103927</v>
      </c>
      <c r="W16" s="104">
        <v>0.4</v>
      </c>
      <c r="X16" s="105">
        <v>12944720</v>
      </c>
      <c r="Y16" s="1694">
        <v>5</v>
      </c>
      <c r="Z16" s="103">
        <v>0</v>
      </c>
      <c r="AA16" s="104">
        <v>0</v>
      </c>
      <c r="AB16" s="104" t="s">
        <v>153</v>
      </c>
      <c r="AC16" s="1723" t="s">
        <v>153</v>
      </c>
      <c r="AD16" s="122">
        <v>261444038</v>
      </c>
      <c r="AE16" s="1777">
        <v>100</v>
      </c>
      <c r="AF16" s="333"/>
    </row>
    <row r="17" spans="1:32" ht="15.75" customHeight="1">
      <c r="A17" s="236" t="s">
        <v>166</v>
      </c>
      <c r="B17" s="554">
        <v>756309</v>
      </c>
      <c r="C17" s="557">
        <v>0.5</v>
      </c>
      <c r="D17" s="555">
        <v>14003047</v>
      </c>
      <c r="E17" s="557">
        <v>9</v>
      </c>
      <c r="F17" s="555">
        <v>58813550</v>
      </c>
      <c r="G17" s="557">
        <v>37.9</v>
      </c>
      <c r="H17" s="555">
        <v>12128595</v>
      </c>
      <c r="I17" s="1682">
        <v>7.8</v>
      </c>
      <c r="J17" s="554">
        <v>492290</v>
      </c>
      <c r="K17" s="557">
        <v>0.3</v>
      </c>
      <c r="L17" s="555">
        <v>3153532</v>
      </c>
      <c r="M17" s="557">
        <v>2</v>
      </c>
      <c r="N17" s="555">
        <v>16015115</v>
      </c>
      <c r="O17" s="557">
        <v>10.3</v>
      </c>
      <c r="P17" s="1539">
        <v>15920802</v>
      </c>
      <c r="Q17" s="1682">
        <v>10.199999999999999</v>
      </c>
      <c r="R17" s="554">
        <v>4334023</v>
      </c>
      <c r="S17" s="557">
        <v>2.8</v>
      </c>
      <c r="T17" s="555">
        <v>13808245</v>
      </c>
      <c r="U17" s="557">
        <v>8.9</v>
      </c>
      <c r="V17" s="555">
        <v>0</v>
      </c>
      <c r="W17" s="557">
        <v>0</v>
      </c>
      <c r="X17" s="555">
        <v>15963766</v>
      </c>
      <c r="Y17" s="1682">
        <v>10.3</v>
      </c>
      <c r="Z17" s="554">
        <v>0</v>
      </c>
      <c r="AA17" s="557">
        <v>0</v>
      </c>
      <c r="AB17" s="656">
        <v>0</v>
      </c>
      <c r="AC17" s="557">
        <v>0</v>
      </c>
      <c r="AD17" s="657">
        <v>155389274.00000003</v>
      </c>
      <c r="AE17" s="1778">
        <v>100</v>
      </c>
      <c r="AF17" s="333"/>
    </row>
    <row r="18" spans="1:32" ht="15.75" customHeight="1">
      <c r="A18" s="320" t="s">
        <v>167</v>
      </c>
      <c r="B18" s="75">
        <v>649305</v>
      </c>
      <c r="C18" s="74">
        <v>0.4</v>
      </c>
      <c r="D18" s="76">
        <v>15637326</v>
      </c>
      <c r="E18" s="74">
        <v>9.1</v>
      </c>
      <c r="F18" s="76">
        <v>62470855</v>
      </c>
      <c r="G18" s="74">
        <v>36.200000000000003</v>
      </c>
      <c r="H18" s="76">
        <v>21240610</v>
      </c>
      <c r="I18" s="1686">
        <v>12.3</v>
      </c>
      <c r="J18" s="75">
        <v>240410</v>
      </c>
      <c r="K18" s="74">
        <v>0.1</v>
      </c>
      <c r="L18" s="76">
        <v>2875975</v>
      </c>
      <c r="M18" s="74">
        <v>1.7</v>
      </c>
      <c r="N18" s="76">
        <v>21079558</v>
      </c>
      <c r="O18" s="74">
        <v>12.2</v>
      </c>
      <c r="P18" s="1726">
        <v>11453785</v>
      </c>
      <c r="Q18" s="1686">
        <v>6.6</v>
      </c>
      <c r="R18" s="75">
        <v>4702510</v>
      </c>
      <c r="S18" s="74">
        <v>2.7</v>
      </c>
      <c r="T18" s="76">
        <v>18135686</v>
      </c>
      <c r="U18" s="74">
        <v>10.5</v>
      </c>
      <c r="V18" s="76">
        <v>54467</v>
      </c>
      <c r="W18" s="74">
        <v>0</v>
      </c>
      <c r="X18" s="76">
        <v>14167338</v>
      </c>
      <c r="Y18" s="1686">
        <v>8.1999999999999993</v>
      </c>
      <c r="Z18" s="627" t="s">
        <v>153</v>
      </c>
      <c r="AA18" s="630" t="s">
        <v>153</v>
      </c>
      <c r="AB18" s="630" t="s">
        <v>153</v>
      </c>
      <c r="AC18" s="1379" t="s">
        <v>153</v>
      </c>
      <c r="AD18" s="188">
        <v>172707825</v>
      </c>
      <c r="AE18" s="1774">
        <v>100</v>
      </c>
      <c r="AF18" s="333"/>
    </row>
    <row r="19" spans="1:32" ht="15.75" customHeight="1">
      <c r="A19" s="236" t="s">
        <v>173</v>
      </c>
      <c r="B19" s="238">
        <v>608364</v>
      </c>
      <c r="C19" s="557">
        <v>0.5</v>
      </c>
      <c r="D19" s="241">
        <v>11382681</v>
      </c>
      <c r="E19" s="557">
        <v>9.4</v>
      </c>
      <c r="F19" s="241">
        <v>56686377</v>
      </c>
      <c r="G19" s="557">
        <v>46.6</v>
      </c>
      <c r="H19" s="241">
        <v>12685510</v>
      </c>
      <c r="I19" s="1682">
        <v>10.4</v>
      </c>
      <c r="J19" s="238">
        <v>148162</v>
      </c>
      <c r="K19" s="557">
        <v>0.1</v>
      </c>
      <c r="L19" s="241">
        <v>871484</v>
      </c>
      <c r="M19" s="557">
        <v>0.7</v>
      </c>
      <c r="N19" s="241">
        <v>1376238</v>
      </c>
      <c r="O19" s="557">
        <v>1.1000000000000001</v>
      </c>
      <c r="P19" s="1720">
        <v>8363825</v>
      </c>
      <c r="Q19" s="1682">
        <v>6.9</v>
      </c>
      <c r="R19" s="238">
        <v>4402314</v>
      </c>
      <c r="S19" s="557">
        <v>3.6</v>
      </c>
      <c r="T19" s="241">
        <v>14037183</v>
      </c>
      <c r="U19" s="557">
        <v>11.5</v>
      </c>
      <c r="V19" s="241">
        <v>0</v>
      </c>
      <c r="W19" s="557">
        <v>0</v>
      </c>
      <c r="X19" s="241">
        <v>10996173</v>
      </c>
      <c r="Y19" s="1682">
        <v>9</v>
      </c>
      <c r="Z19" s="238">
        <v>0</v>
      </c>
      <c r="AA19" s="557">
        <v>0</v>
      </c>
      <c r="AB19" s="242">
        <v>0</v>
      </c>
      <c r="AC19" s="1486">
        <v>0</v>
      </c>
      <c r="AD19" s="252">
        <v>121558311</v>
      </c>
      <c r="AE19" s="1778">
        <v>100</v>
      </c>
      <c r="AF19" s="333"/>
    </row>
    <row r="20" spans="1:32" ht="15.75" customHeight="1">
      <c r="A20" s="320" t="s">
        <v>267</v>
      </c>
      <c r="B20" s="75">
        <v>882841</v>
      </c>
      <c r="C20" s="74">
        <v>0.4</v>
      </c>
      <c r="D20" s="76">
        <v>18067441</v>
      </c>
      <c r="E20" s="74">
        <v>7.7</v>
      </c>
      <c r="F20" s="76">
        <v>105221939</v>
      </c>
      <c r="G20" s="74">
        <v>44.8</v>
      </c>
      <c r="H20" s="76">
        <v>31223190</v>
      </c>
      <c r="I20" s="1686">
        <v>13.3</v>
      </c>
      <c r="J20" s="75">
        <v>273540</v>
      </c>
      <c r="K20" s="74">
        <v>0.1</v>
      </c>
      <c r="L20" s="76">
        <v>1877374</v>
      </c>
      <c r="M20" s="74">
        <v>0.8</v>
      </c>
      <c r="N20" s="76">
        <v>2090284</v>
      </c>
      <c r="O20" s="74">
        <v>0.9</v>
      </c>
      <c r="P20" s="1726">
        <v>25519701</v>
      </c>
      <c r="Q20" s="1686">
        <v>10.9</v>
      </c>
      <c r="R20" s="75">
        <v>7885291</v>
      </c>
      <c r="S20" s="74">
        <v>3.4</v>
      </c>
      <c r="T20" s="76">
        <v>26901028</v>
      </c>
      <c r="U20" s="74">
        <v>11.5</v>
      </c>
      <c r="V20" s="76">
        <v>0</v>
      </c>
      <c r="W20" s="74">
        <v>0</v>
      </c>
      <c r="X20" s="76">
        <v>14511543</v>
      </c>
      <c r="Y20" s="1686">
        <v>6.2</v>
      </c>
      <c r="Z20" s="75">
        <v>0</v>
      </c>
      <c r="AA20" s="74">
        <v>0</v>
      </c>
      <c r="AB20" s="76">
        <v>0</v>
      </c>
      <c r="AC20" s="1687">
        <v>0</v>
      </c>
      <c r="AD20" s="188">
        <v>234444172</v>
      </c>
      <c r="AE20" s="1774">
        <v>100</v>
      </c>
      <c r="AF20" s="333"/>
    </row>
    <row r="21" spans="1:32" ht="15.75" customHeight="1">
      <c r="A21" s="236" t="s">
        <v>178</v>
      </c>
      <c r="B21" s="140">
        <v>527518</v>
      </c>
      <c r="C21" s="136">
        <v>0.4</v>
      </c>
      <c r="D21" s="141">
        <v>16560550</v>
      </c>
      <c r="E21" s="136">
        <v>13.4</v>
      </c>
      <c r="F21" s="141">
        <v>55605168</v>
      </c>
      <c r="G21" s="136">
        <v>45</v>
      </c>
      <c r="H21" s="141">
        <v>14834080</v>
      </c>
      <c r="I21" s="1677">
        <v>12</v>
      </c>
      <c r="J21" s="140">
        <v>60682</v>
      </c>
      <c r="K21" s="136">
        <v>0.1</v>
      </c>
      <c r="L21" s="141">
        <v>798064</v>
      </c>
      <c r="M21" s="136">
        <v>0.7</v>
      </c>
      <c r="N21" s="141">
        <v>1128090</v>
      </c>
      <c r="O21" s="136">
        <v>0.9</v>
      </c>
      <c r="P21" s="1713">
        <v>9397452</v>
      </c>
      <c r="Q21" s="1677">
        <v>7.6</v>
      </c>
      <c r="R21" s="140">
        <v>3855382</v>
      </c>
      <c r="S21" s="136">
        <v>3.1</v>
      </c>
      <c r="T21" s="141">
        <v>12266127</v>
      </c>
      <c r="U21" s="136">
        <v>9.9</v>
      </c>
      <c r="V21" s="141">
        <v>448</v>
      </c>
      <c r="W21" s="136">
        <v>0</v>
      </c>
      <c r="X21" s="141">
        <v>8529025</v>
      </c>
      <c r="Y21" s="1677">
        <v>6.9</v>
      </c>
      <c r="Z21" s="140" t="s">
        <v>148</v>
      </c>
      <c r="AA21" s="136" t="s">
        <v>148</v>
      </c>
      <c r="AB21" s="141" t="s">
        <v>148</v>
      </c>
      <c r="AC21" s="1678" t="s">
        <v>148</v>
      </c>
      <c r="AD21" s="175">
        <v>123562586</v>
      </c>
      <c r="AE21" s="1775">
        <v>100</v>
      </c>
      <c r="AF21" s="333"/>
    </row>
    <row r="22" spans="1:32" ht="15.75" customHeight="1">
      <c r="A22" s="320" t="s">
        <v>179</v>
      </c>
      <c r="B22" s="103">
        <v>940264</v>
      </c>
      <c r="C22" s="104">
        <v>0.4</v>
      </c>
      <c r="D22" s="105">
        <v>20176759</v>
      </c>
      <c r="E22" s="104">
        <v>8.5</v>
      </c>
      <c r="F22" s="105">
        <v>106060473</v>
      </c>
      <c r="G22" s="104">
        <v>44.6</v>
      </c>
      <c r="H22" s="105">
        <v>34630660</v>
      </c>
      <c r="I22" s="1694">
        <v>14.5</v>
      </c>
      <c r="J22" s="103">
        <v>269365</v>
      </c>
      <c r="K22" s="104">
        <v>0.1</v>
      </c>
      <c r="L22" s="105">
        <v>762508</v>
      </c>
      <c r="M22" s="104">
        <v>0.3</v>
      </c>
      <c r="N22" s="105">
        <v>5088486</v>
      </c>
      <c r="O22" s="104">
        <v>2.1</v>
      </c>
      <c r="P22" s="1723">
        <v>19406453</v>
      </c>
      <c r="Q22" s="1694">
        <v>8.1999999999999993</v>
      </c>
      <c r="R22" s="103">
        <v>6766104</v>
      </c>
      <c r="S22" s="104">
        <v>2.8</v>
      </c>
      <c r="T22" s="105">
        <v>26081789</v>
      </c>
      <c r="U22" s="104">
        <v>11</v>
      </c>
      <c r="V22" s="105">
        <v>0</v>
      </c>
      <c r="W22" s="104">
        <v>0</v>
      </c>
      <c r="X22" s="105">
        <v>17890307</v>
      </c>
      <c r="Y22" s="1694">
        <v>7.5</v>
      </c>
      <c r="Z22" s="103">
        <v>0</v>
      </c>
      <c r="AA22" s="104">
        <v>0</v>
      </c>
      <c r="AB22" s="105">
        <v>0</v>
      </c>
      <c r="AC22" s="1695">
        <v>0</v>
      </c>
      <c r="AD22" s="122">
        <v>238073168</v>
      </c>
      <c r="AE22" s="1777">
        <v>100</v>
      </c>
      <c r="AF22" s="333"/>
    </row>
    <row r="23" spans="1:32" ht="15.75" customHeight="1">
      <c r="A23" s="236" t="s">
        <v>182</v>
      </c>
      <c r="B23" s="140">
        <v>603562</v>
      </c>
      <c r="C23" s="136">
        <v>0.4</v>
      </c>
      <c r="D23" s="141">
        <v>9635855</v>
      </c>
      <c r="E23" s="136">
        <v>6.2</v>
      </c>
      <c r="F23" s="141">
        <v>69834213</v>
      </c>
      <c r="G23" s="136">
        <v>44.8</v>
      </c>
      <c r="H23" s="141">
        <v>22728665</v>
      </c>
      <c r="I23" s="1677">
        <v>14.6</v>
      </c>
      <c r="J23" s="140">
        <v>68307</v>
      </c>
      <c r="K23" s="136">
        <v>0</v>
      </c>
      <c r="L23" s="141">
        <v>643346</v>
      </c>
      <c r="M23" s="136">
        <v>0.4</v>
      </c>
      <c r="N23" s="141">
        <v>3012177</v>
      </c>
      <c r="O23" s="136">
        <v>1.9</v>
      </c>
      <c r="P23" s="1713">
        <v>11822764</v>
      </c>
      <c r="Q23" s="1677">
        <v>7.6</v>
      </c>
      <c r="R23" s="140">
        <v>5139695</v>
      </c>
      <c r="S23" s="136">
        <v>3.3</v>
      </c>
      <c r="T23" s="141">
        <v>23107233</v>
      </c>
      <c r="U23" s="136">
        <v>14.8</v>
      </c>
      <c r="V23" s="141">
        <v>195300</v>
      </c>
      <c r="W23" s="136">
        <v>0.1</v>
      </c>
      <c r="X23" s="141">
        <v>9095913</v>
      </c>
      <c r="Y23" s="1677">
        <v>5.8</v>
      </c>
      <c r="Z23" s="140">
        <v>0</v>
      </c>
      <c r="AA23" s="136">
        <v>0</v>
      </c>
      <c r="AB23" s="141">
        <v>0</v>
      </c>
      <c r="AC23" s="1678">
        <v>0</v>
      </c>
      <c r="AD23" s="175">
        <v>155887030</v>
      </c>
      <c r="AE23" s="1775">
        <v>100</v>
      </c>
      <c r="AF23" s="333"/>
    </row>
    <row r="24" spans="1:32" ht="15.75" customHeight="1">
      <c r="A24" s="320" t="s">
        <v>184</v>
      </c>
      <c r="B24" s="103">
        <v>704864</v>
      </c>
      <c r="C24" s="104">
        <v>0.3</v>
      </c>
      <c r="D24" s="105">
        <v>23534864</v>
      </c>
      <c r="E24" s="104">
        <v>10.3</v>
      </c>
      <c r="F24" s="105">
        <v>114719290</v>
      </c>
      <c r="G24" s="104">
        <v>50.3</v>
      </c>
      <c r="H24" s="105">
        <v>26774545</v>
      </c>
      <c r="I24" s="1694">
        <v>11.7</v>
      </c>
      <c r="J24" s="103">
        <v>529129</v>
      </c>
      <c r="K24" s="104">
        <v>0.2</v>
      </c>
      <c r="L24" s="105">
        <v>412216</v>
      </c>
      <c r="M24" s="104">
        <v>0.2</v>
      </c>
      <c r="N24" s="105">
        <v>2617576</v>
      </c>
      <c r="O24" s="104">
        <v>1.2</v>
      </c>
      <c r="P24" s="1723">
        <v>17489268</v>
      </c>
      <c r="Q24" s="1694">
        <v>7.7</v>
      </c>
      <c r="R24" s="103">
        <v>6334634</v>
      </c>
      <c r="S24" s="104">
        <v>2.8</v>
      </c>
      <c r="T24" s="105">
        <v>22320732</v>
      </c>
      <c r="U24" s="104">
        <v>9.8000000000000007</v>
      </c>
      <c r="V24" s="105">
        <v>40508</v>
      </c>
      <c r="W24" s="104">
        <v>0</v>
      </c>
      <c r="X24" s="105">
        <v>12599940</v>
      </c>
      <c r="Y24" s="1694">
        <v>5.5</v>
      </c>
      <c r="Z24" s="103" t="s">
        <v>153</v>
      </c>
      <c r="AA24" s="104" t="s">
        <v>153</v>
      </c>
      <c r="AB24" s="105" t="s">
        <v>153</v>
      </c>
      <c r="AC24" s="1695" t="s">
        <v>153</v>
      </c>
      <c r="AD24" s="122">
        <v>228077566</v>
      </c>
      <c r="AE24" s="1777">
        <v>100</v>
      </c>
      <c r="AF24" s="333"/>
    </row>
    <row r="25" spans="1:32" ht="15.75" customHeight="1">
      <c r="A25" s="236" t="s">
        <v>186</v>
      </c>
      <c r="B25" s="238">
        <v>787270</v>
      </c>
      <c r="C25" s="242">
        <f>B25/$AD$25*100</f>
        <v>0.45434500952934509</v>
      </c>
      <c r="D25" s="241">
        <v>16780130</v>
      </c>
      <c r="E25" s="242">
        <f>D25/$AD$25*100</f>
        <v>9.6840579785253471</v>
      </c>
      <c r="F25" s="241">
        <v>67127960</v>
      </c>
      <c r="G25" s="242">
        <f>F25/$AD$25*100</f>
        <v>38.740525646710147</v>
      </c>
      <c r="H25" s="241">
        <v>21475232</v>
      </c>
      <c r="I25" s="1683">
        <f>H25/$AD$25*100</f>
        <v>12.393669881597033</v>
      </c>
      <c r="J25" s="238">
        <v>348805</v>
      </c>
      <c r="K25" s="242">
        <f>J25/$AD$25*100</f>
        <v>0.20130045733850296</v>
      </c>
      <c r="L25" s="241">
        <v>769266</v>
      </c>
      <c r="M25" s="242">
        <f>L25/$AD$25*100</f>
        <v>0.44395463830782472</v>
      </c>
      <c r="N25" s="241">
        <v>3819988</v>
      </c>
      <c r="O25" s="242">
        <f>N25/$AD$25*100</f>
        <v>2.2045708387998832</v>
      </c>
      <c r="P25" s="1720">
        <v>17470746</v>
      </c>
      <c r="Q25" s="1683">
        <f>P25/$AD$25*100</f>
        <v>10.08262255370428</v>
      </c>
      <c r="R25" s="238">
        <v>6064502</v>
      </c>
      <c r="S25" s="242">
        <f>R25/$AD$25*100</f>
        <v>3.4999126335065891</v>
      </c>
      <c r="T25" s="241">
        <v>21508106</v>
      </c>
      <c r="U25" s="242">
        <f>T25/$AD$25*100</f>
        <v>12.412641946890094</v>
      </c>
      <c r="V25" s="241">
        <v>22211</v>
      </c>
      <c r="W25" s="242">
        <f>V25/$AD$25*100</f>
        <v>1.2818292335102675E-2</v>
      </c>
      <c r="X25" s="241">
        <v>17101595</v>
      </c>
      <c r="Y25" s="1683">
        <f>X25/$AD$25*100</f>
        <v>9.8695801227558526</v>
      </c>
      <c r="Z25" s="1409" t="s">
        <v>148</v>
      </c>
      <c r="AA25" s="1401" t="s">
        <v>148</v>
      </c>
      <c r="AB25" s="1401" t="s">
        <v>148</v>
      </c>
      <c r="AC25" s="1401" t="s">
        <v>148</v>
      </c>
      <c r="AD25" s="252">
        <f>SUM(B25,D25,F25,H25,J25,L25,N25,P25,R25,T25,V25,X25,Z25,AB25)</f>
        <v>173275811</v>
      </c>
      <c r="AE25" s="1775">
        <f>SUM(C25,E25,G25,I25,K25,M25,O25,Q25,S25,U25,W25,Y25,AA25,AC25)</f>
        <v>99.999999999999986</v>
      </c>
      <c r="AF25" s="333"/>
    </row>
    <row r="26" spans="1:32" ht="15.75" customHeight="1">
      <c r="A26" s="320" t="s">
        <v>187</v>
      </c>
      <c r="B26" s="103">
        <v>719641</v>
      </c>
      <c r="C26" s="104">
        <v>0.4</v>
      </c>
      <c r="D26" s="105">
        <v>26305181</v>
      </c>
      <c r="E26" s="104">
        <v>14.2</v>
      </c>
      <c r="F26" s="105">
        <v>66143399</v>
      </c>
      <c r="G26" s="104">
        <v>35.6</v>
      </c>
      <c r="H26" s="105">
        <v>13289943</v>
      </c>
      <c r="I26" s="1694">
        <v>7.2</v>
      </c>
      <c r="J26" s="103">
        <v>622304</v>
      </c>
      <c r="K26" s="104">
        <v>0.3</v>
      </c>
      <c r="L26" s="105">
        <v>4737848</v>
      </c>
      <c r="M26" s="104">
        <v>2.5</v>
      </c>
      <c r="N26" s="105">
        <v>4832115</v>
      </c>
      <c r="O26" s="104">
        <v>2.6</v>
      </c>
      <c r="P26" s="1723">
        <v>22390490</v>
      </c>
      <c r="Q26" s="1694">
        <v>12.1</v>
      </c>
      <c r="R26" s="103">
        <v>4855907</v>
      </c>
      <c r="S26" s="104">
        <v>2.6</v>
      </c>
      <c r="T26" s="105">
        <v>19410910</v>
      </c>
      <c r="U26" s="104">
        <v>10.5</v>
      </c>
      <c r="V26" s="105">
        <v>133278</v>
      </c>
      <c r="W26" s="104">
        <v>0.1</v>
      </c>
      <c r="X26" s="105">
        <v>22085832</v>
      </c>
      <c r="Y26" s="1694">
        <v>11.9</v>
      </c>
      <c r="Z26" s="103">
        <v>0</v>
      </c>
      <c r="AA26" s="104">
        <v>0</v>
      </c>
      <c r="AB26" s="105">
        <v>0</v>
      </c>
      <c r="AC26" s="1695">
        <v>0</v>
      </c>
      <c r="AD26" s="122">
        <v>185526848</v>
      </c>
      <c r="AE26" s="1777">
        <v>100</v>
      </c>
      <c r="AF26" s="333"/>
    </row>
    <row r="27" spans="1:32" ht="15.75" customHeight="1">
      <c r="A27" s="236" t="s">
        <v>269</v>
      </c>
      <c r="B27" s="140">
        <v>851177</v>
      </c>
      <c r="C27" s="136">
        <v>0.4</v>
      </c>
      <c r="D27" s="141">
        <v>17464694</v>
      </c>
      <c r="E27" s="136">
        <v>7.4</v>
      </c>
      <c r="F27" s="141">
        <v>75671545</v>
      </c>
      <c r="G27" s="136">
        <v>31.8</v>
      </c>
      <c r="H27" s="141">
        <v>28095876</v>
      </c>
      <c r="I27" s="1677">
        <v>11.8</v>
      </c>
      <c r="J27" s="140">
        <v>408330</v>
      </c>
      <c r="K27" s="136">
        <v>0.2</v>
      </c>
      <c r="L27" s="141">
        <v>2764798</v>
      </c>
      <c r="M27" s="136">
        <v>1.2</v>
      </c>
      <c r="N27" s="141">
        <v>8059767</v>
      </c>
      <c r="O27" s="136">
        <v>3.4</v>
      </c>
      <c r="P27" s="1713">
        <v>23780609</v>
      </c>
      <c r="Q27" s="1677">
        <v>10</v>
      </c>
      <c r="R27" s="140">
        <v>4643954</v>
      </c>
      <c r="S27" s="136">
        <v>2</v>
      </c>
      <c r="T27" s="141">
        <v>38626107</v>
      </c>
      <c r="U27" s="136">
        <v>16.3</v>
      </c>
      <c r="V27" s="141">
        <v>505758</v>
      </c>
      <c r="W27" s="136">
        <v>0.2</v>
      </c>
      <c r="X27" s="141">
        <v>20378269</v>
      </c>
      <c r="Y27" s="1677">
        <v>8.6</v>
      </c>
      <c r="Z27" s="198">
        <v>16001138</v>
      </c>
      <c r="AA27" s="242">
        <v>6.7</v>
      </c>
      <c r="AB27" s="162">
        <v>0</v>
      </c>
      <c r="AC27" s="199">
        <v>0</v>
      </c>
      <c r="AD27" s="175">
        <v>237252022</v>
      </c>
      <c r="AE27" s="1775">
        <v>100</v>
      </c>
      <c r="AF27" s="333"/>
    </row>
    <row r="28" spans="1:32" ht="15.75" customHeight="1">
      <c r="A28" s="320" t="s">
        <v>270</v>
      </c>
      <c r="B28" s="75">
        <v>661060</v>
      </c>
      <c r="C28" s="74">
        <f>B28/$AD$28*100</f>
        <v>0.53340418062324635</v>
      </c>
      <c r="D28" s="76">
        <v>8959903</v>
      </c>
      <c r="E28" s="74">
        <f>D28/$AD$28*100</f>
        <v>7.2296761537209431</v>
      </c>
      <c r="F28" s="76">
        <v>47353840</v>
      </c>
      <c r="G28" s="74">
        <f>F28/$AD$28*100</f>
        <v>38.209445775821116</v>
      </c>
      <c r="H28" s="76">
        <v>9588398</v>
      </c>
      <c r="I28" s="1686">
        <f>H28/$AD$28*100</f>
        <v>7.736803888723526</v>
      </c>
      <c r="J28" s="75">
        <v>279608</v>
      </c>
      <c r="K28" s="74">
        <f>J28/$AD$28*100</f>
        <v>0.22561352393989145</v>
      </c>
      <c r="L28" s="76">
        <v>3622475</v>
      </c>
      <c r="M28" s="74">
        <f>L28/$AD$28*100</f>
        <v>2.9229469476343963</v>
      </c>
      <c r="N28" s="76">
        <v>2792550</v>
      </c>
      <c r="O28" s="74">
        <f>N28/$AD$28*100</f>
        <v>2.2532869098106776</v>
      </c>
      <c r="P28" s="1726">
        <v>20513246</v>
      </c>
      <c r="Q28" s="1686">
        <f>P28/$AD$28*100</f>
        <v>16.551978904415765</v>
      </c>
      <c r="R28" s="75">
        <v>3311588</v>
      </c>
      <c r="S28" s="74">
        <f>R28/$AD$28*100</f>
        <v>2.6720946414875728</v>
      </c>
      <c r="T28" s="76">
        <v>11420113</v>
      </c>
      <c r="U28" s="74">
        <f>T28/$AD$28*100</f>
        <v>9.21480049827532</v>
      </c>
      <c r="V28" s="76">
        <v>488012</v>
      </c>
      <c r="W28" s="74">
        <f>V28/$AD$28*100</f>
        <v>0.39377309320532433</v>
      </c>
      <c r="X28" s="76">
        <v>14941494</v>
      </c>
      <c r="Y28" s="1686">
        <f>X28/$AD$28*100</f>
        <v>12.056175482342224</v>
      </c>
      <c r="Z28" s="627" t="s">
        <v>153</v>
      </c>
      <c r="AA28" s="630" t="s">
        <v>153</v>
      </c>
      <c r="AB28" s="628" t="s">
        <v>153</v>
      </c>
      <c r="AC28" s="630" t="s">
        <v>153</v>
      </c>
      <c r="AD28" s="188">
        <v>123932287</v>
      </c>
      <c r="AE28" s="1686">
        <f>AD28/$AD$28*100</f>
        <v>100</v>
      </c>
      <c r="AF28" s="333"/>
    </row>
    <row r="29" spans="1:32" ht="15.75" customHeight="1">
      <c r="A29" s="236" t="s">
        <v>271</v>
      </c>
      <c r="B29" s="140">
        <v>528654</v>
      </c>
      <c r="C29" s="136">
        <v>0.6</v>
      </c>
      <c r="D29" s="141">
        <v>10000800</v>
      </c>
      <c r="E29" s="136">
        <v>11.7</v>
      </c>
      <c r="F29" s="141">
        <v>38055838</v>
      </c>
      <c r="G29" s="136">
        <v>44.6</v>
      </c>
      <c r="H29" s="141">
        <v>8950954</v>
      </c>
      <c r="I29" s="1677">
        <v>10.5</v>
      </c>
      <c r="J29" s="140">
        <v>192868</v>
      </c>
      <c r="K29" s="136">
        <v>0.2</v>
      </c>
      <c r="L29" s="141">
        <v>931711</v>
      </c>
      <c r="M29" s="136">
        <v>1.1000000000000001</v>
      </c>
      <c r="N29" s="141">
        <v>1632180</v>
      </c>
      <c r="O29" s="136">
        <v>1.9</v>
      </c>
      <c r="P29" s="1713">
        <v>7110317</v>
      </c>
      <c r="Q29" s="1677">
        <v>8.4</v>
      </c>
      <c r="R29" s="140">
        <v>2286778</v>
      </c>
      <c r="S29" s="136">
        <v>2.7</v>
      </c>
      <c r="T29" s="141">
        <v>7241807</v>
      </c>
      <c r="U29" s="136">
        <v>8.5</v>
      </c>
      <c r="V29" s="141" t="s">
        <v>148</v>
      </c>
      <c r="W29" s="136" t="s">
        <v>148</v>
      </c>
      <c r="X29" s="141">
        <v>8384582</v>
      </c>
      <c r="Y29" s="1677">
        <v>9.8000000000000007</v>
      </c>
      <c r="Z29" s="140" t="s">
        <v>148</v>
      </c>
      <c r="AA29" s="136" t="s">
        <v>148</v>
      </c>
      <c r="AB29" s="141" t="s">
        <v>148</v>
      </c>
      <c r="AC29" s="1678" t="s">
        <v>148</v>
      </c>
      <c r="AD29" s="175">
        <v>85316489</v>
      </c>
      <c r="AE29" s="1775">
        <v>100</v>
      </c>
      <c r="AF29" s="333"/>
    </row>
    <row r="30" spans="1:32" ht="15.75" customHeight="1">
      <c r="A30" s="320" t="s">
        <v>654</v>
      </c>
      <c r="B30" s="75">
        <v>697115</v>
      </c>
      <c r="C30" s="74">
        <v>0.4</v>
      </c>
      <c r="D30" s="76">
        <v>15170902</v>
      </c>
      <c r="E30" s="74">
        <v>9.1999999999999993</v>
      </c>
      <c r="F30" s="76">
        <v>59113334</v>
      </c>
      <c r="G30" s="74">
        <v>35.799999999999997</v>
      </c>
      <c r="H30" s="76">
        <v>13627980</v>
      </c>
      <c r="I30" s="1686">
        <v>8.3000000000000007</v>
      </c>
      <c r="J30" s="75">
        <v>239000</v>
      </c>
      <c r="K30" s="74">
        <v>0.2</v>
      </c>
      <c r="L30" s="76">
        <v>2222722</v>
      </c>
      <c r="M30" s="74">
        <v>1.3</v>
      </c>
      <c r="N30" s="76">
        <v>20624809</v>
      </c>
      <c r="O30" s="74">
        <v>12.5</v>
      </c>
      <c r="P30" s="1726">
        <v>16358504</v>
      </c>
      <c r="Q30" s="1686">
        <v>9.9</v>
      </c>
      <c r="R30" s="75">
        <v>4844290</v>
      </c>
      <c r="S30" s="74">
        <v>2.9</v>
      </c>
      <c r="T30" s="76">
        <v>14353156</v>
      </c>
      <c r="U30" s="74">
        <v>8.6999999999999993</v>
      </c>
      <c r="V30" s="76">
        <v>1365147</v>
      </c>
      <c r="W30" s="74">
        <v>0.8</v>
      </c>
      <c r="X30" s="76">
        <v>16507001</v>
      </c>
      <c r="Y30" s="1686">
        <v>10</v>
      </c>
      <c r="Z30" s="75">
        <v>0</v>
      </c>
      <c r="AA30" s="74">
        <v>0</v>
      </c>
      <c r="AB30" s="76">
        <v>0</v>
      </c>
      <c r="AC30" s="1687">
        <v>0</v>
      </c>
      <c r="AD30" s="188">
        <v>165123960</v>
      </c>
      <c r="AE30" s="1774">
        <v>100</v>
      </c>
      <c r="AF30" s="333"/>
    </row>
    <row r="31" spans="1:32" ht="15.75" customHeight="1">
      <c r="A31" s="236" t="s">
        <v>272</v>
      </c>
      <c r="B31" s="238">
        <v>422511</v>
      </c>
      <c r="C31" s="242">
        <v>0.4</v>
      </c>
      <c r="D31" s="241">
        <v>12356010</v>
      </c>
      <c r="E31" s="242">
        <v>11</v>
      </c>
      <c r="F31" s="241">
        <v>38582902</v>
      </c>
      <c r="G31" s="242">
        <v>34.4</v>
      </c>
      <c r="H31" s="241">
        <v>10217436</v>
      </c>
      <c r="I31" s="1683">
        <v>9.1</v>
      </c>
      <c r="J31" s="238">
        <v>137389</v>
      </c>
      <c r="K31" s="242">
        <v>0.1</v>
      </c>
      <c r="L31" s="241">
        <v>3125297</v>
      </c>
      <c r="M31" s="242">
        <v>2.8</v>
      </c>
      <c r="N31" s="241">
        <v>8923901</v>
      </c>
      <c r="O31" s="242">
        <v>8</v>
      </c>
      <c r="P31" s="1720">
        <v>9595308</v>
      </c>
      <c r="Q31" s="1683">
        <v>8.6</v>
      </c>
      <c r="R31" s="238">
        <v>3087794</v>
      </c>
      <c r="S31" s="242">
        <v>2.8</v>
      </c>
      <c r="T31" s="241">
        <v>16333778</v>
      </c>
      <c r="U31" s="242">
        <v>14.6</v>
      </c>
      <c r="V31" s="241">
        <v>232003</v>
      </c>
      <c r="W31" s="242">
        <v>0.2</v>
      </c>
      <c r="X31" s="241">
        <v>8987445</v>
      </c>
      <c r="Y31" s="1683">
        <v>8</v>
      </c>
      <c r="Z31" s="238" t="s">
        <v>148</v>
      </c>
      <c r="AA31" s="242" t="s">
        <v>148</v>
      </c>
      <c r="AB31" s="241" t="s">
        <v>148</v>
      </c>
      <c r="AC31" s="1684" t="s">
        <v>148</v>
      </c>
      <c r="AD31" s="252">
        <v>112001774</v>
      </c>
      <c r="AE31" s="1775">
        <v>100</v>
      </c>
      <c r="AF31" s="333"/>
    </row>
    <row r="32" spans="1:32" ht="15.75" customHeight="1">
      <c r="A32" s="320" t="s">
        <v>196</v>
      </c>
      <c r="B32" s="75">
        <v>748074</v>
      </c>
      <c r="C32" s="74">
        <v>0.4</v>
      </c>
      <c r="D32" s="76">
        <v>16768715</v>
      </c>
      <c r="E32" s="74">
        <v>8.9</v>
      </c>
      <c r="F32" s="76">
        <v>69799097</v>
      </c>
      <c r="G32" s="74">
        <v>37.1</v>
      </c>
      <c r="H32" s="76">
        <v>18692641</v>
      </c>
      <c r="I32" s="1686">
        <v>9.9</v>
      </c>
      <c r="J32" s="75">
        <v>121491</v>
      </c>
      <c r="K32" s="74">
        <v>0.1</v>
      </c>
      <c r="L32" s="76">
        <v>1267586</v>
      </c>
      <c r="M32" s="74">
        <v>0.7</v>
      </c>
      <c r="N32" s="76">
        <v>22299880</v>
      </c>
      <c r="O32" s="74">
        <v>11.8</v>
      </c>
      <c r="P32" s="1726">
        <v>19876014</v>
      </c>
      <c r="Q32" s="1686">
        <v>10.5</v>
      </c>
      <c r="R32" s="75">
        <v>7066633</v>
      </c>
      <c r="S32" s="74">
        <v>3.7</v>
      </c>
      <c r="T32" s="76">
        <v>19543812</v>
      </c>
      <c r="U32" s="74">
        <v>10.4</v>
      </c>
      <c r="V32" s="76" t="s">
        <v>148</v>
      </c>
      <c r="W32" s="74" t="s">
        <v>148</v>
      </c>
      <c r="X32" s="76">
        <v>12308657</v>
      </c>
      <c r="Y32" s="1686">
        <v>6.5</v>
      </c>
      <c r="Z32" s="75" t="s">
        <v>148</v>
      </c>
      <c r="AA32" s="74" t="s">
        <v>148</v>
      </c>
      <c r="AB32" s="76" t="s">
        <v>148</v>
      </c>
      <c r="AC32" s="1687" t="s">
        <v>148</v>
      </c>
      <c r="AD32" s="188">
        <v>188492600</v>
      </c>
      <c r="AE32" s="1774">
        <v>100.00000000000001</v>
      </c>
      <c r="AF32" s="333"/>
    </row>
    <row r="33" spans="1:32" ht="15.75" customHeight="1">
      <c r="A33" s="236" t="s">
        <v>197</v>
      </c>
      <c r="B33" s="238">
        <v>615843</v>
      </c>
      <c r="C33" s="242">
        <v>0.4</v>
      </c>
      <c r="D33" s="241">
        <v>8928961</v>
      </c>
      <c r="E33" s="242">
        <v>6.5</v>
      </c>
      <c r="F33" s="241">
        <v>56453242</v>
      </c>
      <c r="G33" s="242">
        <v>40.9</v>
      </c>
      <c r="H33" s="241">
        <v>19157205</v>
      </c>
      <c r="I33" s="1683">
        <v>13.9</v>
      </c>
      <c r="J33" s="238">
        <v>309728</v>
      </c>
      <c r="K33" s="242">
        <v>0.2</v>
      </c>
      <c r="L33" s="241">
        <v>2070318</v>
      </c>
      <c r="M33" s="242">
        <v>1.5</v>
      </c>
      <c r="N33" s="241">
        <v>3674803</v>
      </c>
      <c r="O33" s="242">
        <v>2.7</v>
      </c>
      <c r="P33" s="1720">
        <v>13264660</v>
      </c>
      <c r="Q33" s="1683">
        <v>9.6</v>
      </c>
      <c r="R33" s="238">
        <v>3856208</v>
      </c>
      <c r="S33" s="242">
        <v>2.8</v>
      </c>
      <c r="T33" s="241">
        <v>20072206</v>
      </c>
      <c r="U33" s="242">
        <v>14.5</v>
      </c>
      <c r="V33" s="241">
        <v>22468</v>
      </c>
      <c r="W33" s="242">
        <v>0</v>
      </c>
      <c r="X33" s="241">
        <v>9628591</v>
      </c>
      <c r="Y33" s="1683">
        <v>7</v>
      </c>
      <c r="Z33" s="238" t="s">
        <v>148</v>
      </c>
      <c r="AA33" s="242" t="s">
        <v>148</v>
      </c>
      <c r="AB33" s="241" t="s">
        <v>148</v>
      </c>
      <c r="AC33" s="1684" t="s">
        <v>148</v>
      </c>
      <c r="AD33" s="252">
        <v>138054233</v>
      </c>
      <c r="AE33" s="1775">
        <v>99.999999999999986</v>
      </c>
      <c r="AF33" s="333"/>
    </row>
    <row r="34" spans="1:32" ht="15.75" customHeight="1">
      <c r="A34" s="320" t="s">
        <v>198</v>
      </c>
      <c r="B34" s="75">
        <v>676749</v>
      </c>
      <c r="C34" s="74">
        <v>0.5</v>
      </c>
      <c r="D34" s="76">
        <v>16771734</v>
      </c>
      <c r="E34" s="74">
        <v>11.7</v>
      </c>
      <c r="F34" s="76">
        <v>54448588</v>
      </c>
      <c r="G34" s="74">
        <v>38</v>
      </c>
      <c r="H34" s="76">
        <v>20824886</v>
      </c>
      <c r="I34" s="1686">
        <v>14.6</v>
      </c>
      <c r="J34" s="75">
        <v>85343</v>
      </c>
      <c r="K34" s="74">
        <v>0.1</v>
      </c>
      <c r="L34" s="76">
        <v>1616153</v>
      </c>
      <c r="M34" s="74">
        <v>1.1000000000000001</v>
      </c>
      <c r="N34" s="76">
        <v>4893133</v>
      </c>
      <c r="O34" s="74">
        <v>3.4</v>
      </c>
      <c r="P34" s="1726">
        <v>16266016</v>
      </c>
      <c r="Q34" s="1686">
        <v>11.4</v>
      </c>
      <c r="R34" s="75">
        <v>4313364</v>
      </c>
      <c r="S34" s="74">
        <v>3</v>
      </c>
      <c r="T34" s="76">
        <v>15799491</v>
      </c>
      <c r="U34" s="74">
        <v>11</v>
      </c>
      <c r="V34" s="76">
        <v>97920</v>
      </c>
      <c r="W34" s="74">
        <v>0.1</v>
      </c>
      <c r="X34" s="76">
        <v>7342429</v>
      </c>
      <c r="Y34" s="1686">
        <v>5.0999999999999996</v>
      </c>
      <c r="Z34" s="75" t="s">
        <v>148</v>
      </c>
      <c r="AA34" s="74" t="s">
        <v>148</v>
      </c>
      <c r="AB34" s="76" t="s">
        <v>148</v>
      </c>
      <c r="AC34" s="76" t="s">
        <v>148</v>
      </c>
      <c r="AD34" s="188">
        <v>143135806</v>
      </c>
      <c r="AE34" s="1774">
        <v>100</v>
      </c>
      <c r="AF34" s="333"/>
    </row>
    <row r="35" spans="1:32" ht="15.75" customHeight="1">
      <c r="A35" s="236" t="s">
        <v>199</v>
      </c>
      <c r="B35" s="238">
        <v>586329</v>
      </c>
      <c r="C35" s="242">
        <v>0.4</v>
      </c>
      <c r="D35" s="241">
        <v>14494737</v>
      </c>
      <c r="E35" s="242">
        <v>10.4</v>
      </c>
      <c r="F35" s="241">
        <v>65495997</v>
      </c>
      <c r="G35" s="242">
        <v>47.1</v>
      </c>
      <c r="H35" s="241">
        <v>16644238</v>
      </c>
      <c r="I35" s="1683">
        <v>12</v>
      </c>
      <c r="J35" s="238">
        <v>99386</v>
      </c>
      <c r="K35" s="242">
        <v>0.1</v>
      </c>
      <c r="L35" s="241">
        <v>2005686</v>
      </c>
      <c r="M35" s="242">
        <v>1.4</v>
      </c>
      <c r="N35" s="241">
        <v>2341244</v>
      </c>
      <c r="O35" s="242">
        <v>1.7</v>
      </c>
      <c r="P35" s="1720">
        <v>11663603</v>
      </c>
      <c r="Q35" s="1683">
        <v>8.4</v>
      </c>
      <c r="R35" s="238">
        <v>4209560</v>
      </c>
      <c r="S35" s="242">
        <v>3</v>
      </c>
      <c r="T35" s="241">
        <v>11589780</v>
      </c>
      <c r="U35" s="242">
        <v>8.3000000000000007</v>
      </c>
      <c r="V35" s="241" t="s">
        <v>148</v>
      </c>
      <c r="W35" s="242" t="s">
        <v>148</v>
      </c>
      <c r="X35" s="241">
        <v>9994243</v>
      </c>
      <c r="Y35" s="1683">
        <v>7.2</v>
      </c>
      <c r="Z35" s="238">
        <v>1384</v>
      </c>
      <c r="AA35" s="242">
        <v>0</v>
      </c>
      <c r="AB35" s="241" t="s">
        <v>148</v>
      </c>
      <c r="AC35" s="1684" t="s">
        <v>148</v>
      </c>
      <c r="AD35" s="252">
        <v>139126187</v>
      </c>
      <c r="AE35" s="1775">
        <v>100</v>
      </c>
      <c r="AF35" s="333"/>
    </row>
    <row r="36" spans="1:32" ht="15.75" customHeight="1">
      <c r="A36" s="320" t="s">
        <v>638</v>
      </c>
      <c r="B36" s="103">
        <v>837956</v>
      </c>
      <c r="C36" s="104">
        <v>0.41922443060091802</v>
      </c>
      <c r="D36" s="105">
        <v>31723309</v>
      </c>
      <c r="E36" s="104">
        <v>15.870983861088146</v>
      </c>
      <c r="F36" s="105">
        <v>65018997</v>
      </c>
      <c r="G36" s="104">
        <v>32.528619635837437</v>
      </c>
      <c r="H36" s="105">
        <v>22906332</v>
      </c>
      <c r="I36" s="1694">
        <v>11.459902417138354</v>
      </c>
      <c r="J36" s="103">
        <v>473973</v>
      </c>
      <c r="K36" s="104">
        <v>0.23712588852542246</v>
      </c>
      <c r="L36" s="105">
        <v>3031205</v>
      </c>
      <c r="M36" s="104">
        <v>1.5164939330461928</v>
      </c>
      <c r="N36" s="105">
        <v>4605176</v>
      </c>
      <c r="O36" s="104">
        <v>2.303942314891251</v>
      </c>
      <c r="P36" s="1723">
        <v>22839510</v>
      </c>
      <c r="Q36" s="1694">
        <v>11.426471765765712</v>
      </c>
      <c r="R36" s="103">
        <v>6927966</v>
      </c>
      <c r="S36" s="104">
        <v>3.4660204134495358</v>
      </c>
      <c r="T36" s="105">
        <v>33387606</v>
      </c>
      <c r="U36" s="104">
        <v>16.7036218064884</v>
      </c>
      <c r="V36" s="105">
        <v>352605</v>
      </c>
      <c r="W36" s="104">
        <v>0.17640619597214732</v>
      </c>
      <c r="X36" s="105">
        <v>7777800</v>
      </c>
      <c r="Y36" s="1694">
        <v>3.8911873371964876</v>
      </c>
      <c r="Z36" s="103" t="s">
        <v>148</v>
      </c>
      <c r="AA36" s="104" t="s">
        <v>148</v>
      </c>
      <c r="AB36" s="105" t="s">
        <v>148</v>
      </c>
      <c r="AC36" s="1695" t="s">
        <v>148</v>
      </c>
      <c r="AD36" s="122">
        <v>199882435</v>
      </c>
      <c r="AE36" s="1777">
        <v>100</v>
      </c>
      <c r="AF36" s="333"/>
    </row>
    <row r="37" spans="1:32" ht="15.75" customHeight="1">
      <c r="A37" s="236" t="s">
        <v>203</v>
      </c>
      <c r="B37" s="140">
        <v>617988</v>
      </c>
      <c r="C37" s="136">
        <f>B37*100/$AD37</f>
        <v>0.44275581009175435</v>
      </c>
      <c r="D37" s="141">
        <v>15107631</v>
      </c>
      <c r="E37" s="136">
        <f>D37*100/$AD37</f>
        <v>10.823820854081795</v>
      </c>
      <c r="F37" s="141">
        <v>63880648</v>
      </c>
      <c r="G37" s="136">
        <f>F37*100/$AD37</f>
        <v>45.767115307135747</v>
      </c>
      <c r="H37" s="141">
        <v>17072017</v>
      </c>
      <c r="I37" s="1677">
        <f>H37*100/$AD37</f>
        <v>12.231199823839948</v>
      </c>
      <c r="J37" s="140">
        <v>89245</v>
      </c>
      <c r="K37" s="136">
        <f>J37*100/$AD37</f>
        <v>6.3939335831178945E-2</v>
      </c>
      <c r="L37" s="141">
        <v>816018</v>
      </c>
      <c r="M37" s="136">
        <f>L37*100/$AD37</f>
        <v>0.5846338612391393</v>
      </c>
      <c r="N37" s="141">
        <v>1509242</v>
      </c>
      <c r="O37" s="136">
        <f>N37*100/$AD37</f>
        <v>1.0812922974790764</v>
      </c>
      <c r="P37" s="1713">
        <v>9174607</v>
      </c>
      <c r="Q37" s="1677">
        <f>P37*100/$AD37</f>
        <v>6.5731220582899343</v>
      </c>
      <c r="R37" s="140">
        <v>4150990</v>
      </c>
      <c r="S37" s="136">
        <f>R37*100/$AD37</f>
        <v>2.9739654170190541</v>
      </c>
      <c r="T37" s="141">
        <v>16155631</v>
      </c>
      <c r="U37" s="136">
        <f>T37*100/$AD37</f>
        <v>11.574657583882631</v>
      </c>
      <c r="V37" s="141">
        <v>424716</v>
      </c>
      <c r="W37" s="136">
        <f>V37*100/$AD37</f>
        <v>0.30428661501344612</v>
      </c>
      <c r="X37" s="141">
        <v>10574638</v>
      </c>
      <c r="Y37" s="1677">
        <f>X37*100/$AD37</f>
        <v>7.5761704339195077</v>
      </c>
      <c r="Z37" s="140">
        <v>4244</v>
      </c>
      <c r="AA37" s="136">
        <f>Z37*100/$AD37</f>
        <v>3.0406021767888786E-3</v>
      </c>
      <c r="AB37" s="141" t="s">
        <v>153</v>
      </c>
      <c r="AC37" s="1678" t="s">
        <v>153</v>
      </c>
      <c r="AD37" s="175">
        <v>139577615</v>
      </c>
      <c r="AE37" s="1775">
        <v>100</v>
      </c>
      <c r="AF37" s="333"/>
    </row>
    <row r="38" spans="1:32" ht="15.75" customHeight="1">
      <c r="A38" s="320" t="s">
        <v>204</v>
      </c>
      <c r="B38" s="103">
        <v>646407</v>
      </c>
      <c r="C38" s="104">
        <v>0.4</v>
      </c>
      <c r="D38" s="105">
        <v>21657026</v>
      </c>
      <c r="E38" s="104">
        <v>12.1</v>
      </c>
      <c r="F38" s="105">
        <v>92619560</v>
      </c>
      <c r="G38" s="104">
        <v>51.6</v>
      </c>
      <c r="H38" s="105">
        <v>16142275</v>
      </c>
      <c r="I38" s="1694">
        <v>9</v>
      </c>
      <c r="J38" s="103">
        <v>312041</v>
      </c>
      <c r="K38" s="104">
        <v>0.2</v>
      </c>
      <c r="L38" s="105">
        <v>45571</v>
      </c>
      <c r="M38" s="104">
        <v>0</v>
      </c>
      <c r="N38" s="105">
        <v>1896961</v>
      </c>
      <c r="O38" s="104">
        <v>1.1000000000000001</v>
      </c>
      <c r="P38" s="1723">
        <v>10505700</v>
      </c>
      <c r="Q38" s="1694">
        <v>5.9</v>
      </c>
      <c r="R38" s="103">
        <v>4799375</v>
      </c>
      <c r="S38" s="104">
        <v>2.6</v>
      </c>
      <c r="T38" s="105">
        <v>21539974</v>
      </c>
      <c r="U38" s="104">
        <v>12</v>
      </c>
      <c r="V38" s="105">
        <v>0</v>
      </c>
      <c r="W38" s="104">
        <v>0</v>
      </c>
      <c r="X38" s="105">
        <v>9178687</v>
      </c>
      <c r="Y38" s="1694">
        <v>5.0999999999999996</v>
      </c>
      <c r="Z38" s="103">
        <v>0</v>
      </c>
      <c r="AA38" s="104">
        <v>0</v>
      </c>
      <c r="AB38" s="105">
        <v>0</v>
      </c>
      <c r="AC38" s="1695" t="s">
        <v>153</v>
      </c>
      <c r="AD38" s="122">
        <v>179343577</v>
      </c>
      <c r="AE38" s="1777">
        <v>100</v>
      </c>
      <c r="AF38" s="333"/>
    </row>
    <row r="39" spans="1:32" ht="15.75" customHeight="1">
      <c r="A39" s="236" t="s">
        <v>205</v>
      </c>
      <c r="B39" s="238">
        <v>708705</v>
      </c>
      <c r="C39" s="136">
        <v>0.5</v>
      </c>
      <c r="D39" s="241">
        <v>12350587</v>
      </c>
      <c r="E39" s="242">
        <v>7.9</v>
      </c>
      <c r="F39" s="241">
        <v>74606364</v>
      </c>
      <c r="G39" s="242">
        <v>47.7</v>
      </c>
      <c r="H39" s="241">
        <v>17705128</v>
      </c>
      <c r="I39" s="1683">
        <v>11.3</v>
      </c>
      <c r="J39" s="238">
        <v>242282</v>
      </c>
      <c r="K39" s="242">
        <v>0.2</v>
      </c>
      <c r="L39" s="241">
        <v>70924</v>
      </c>
      <c r="M39" s="136">
        <v>0</v>
      </c>
      <c r="N39" s="241">
        <v>2752446</v>
      </c>
      <c r="O39" s="242">
        <v>1.8</v>
      </c>
      <c r="P39" s="1720">
        <v>13599589</v>
      </c>
      <c r="Q39" s="1683">
        <v>8.6999999999999993</v>
      </c>
      <c r="R39" s="238">
        <v>4909238</v>
      </c>
      <c r="S39" s="242">
        <v>3.1</v>
      </c>
      <c r="T39" s="241">
        <v>22842114</v>
      </c>
      <c r="U39" s="242">
        <v>14.6</v>
      </c>
      <c r="V39" s="141">
        <v>0</v>
      </c>
      <c r="W39" s="136">
        <v>0</v>
      </c>
      <c r="X39" s="241">
        <v>6521259</v>
      </c>
      <c r="Y39" s="1683">
        <v>4.2</v>
      </c>
      <c r="Z39" s="140">
        <v>0</v>
      </c>
      <c r="AA39" s="136">
        <v>0</v>
      </c>
      <c r="AB39" s="141">
        <v>0</v>
      </c>
      <c r="AC39" s="1678">
        <v>0</v>
      </c>
      <c r="AD39" s="252">
        <v>156308636</v>
      </c>
      <c r="AE39" s="1775">
        <v>100</v>
      </c>
      <c r="AF39" s="333"/>
    </row>
    <row r="40" spans="1:32" ht="15.75" customHeight="1">
      <c r="A40" s="320" t="s">
        <v>208</v>
      </c>
      <c r="B40" s="103">
        <v>590381</v>
      </c>
      <c r="C40" s="104">
        <v>0.4</v>
      </c>
      <c r="D40" s="105">
        <v>19562680</v>
      </c>
      <c r="E40" s="104">
        <v>13.5</v>
      </c>
      <c r="F40" s="105">
        <v>65871597</v>
      </c>
      <c r="G40" s="104">
        <v>45.4</v>
      </c>
      <c r="H40" s="105">
        <v>18096246</v>
      </c>
      <c r="I40" s="1694">
        <v>12.5</v>
      </c>
      <c r="J40" s="103">
        <v>77454</v>
      </c>
      <c r="K40" s="104">
        <v>0.1</v>
      </c>
      <c r="L40" s="105">
        <v>665493</v>
      </c>
      <c r="M40" s="104">
        <v>0.5</v>
      </c>
      <c r="N40" s="105">
        <v>4500250</v>
      </c>
      <c r="O40" s="104">
        <v>3.1</v>
      </c>
      <c r="P40" s="1723">
        <v>9625357</v>
      </c>
      <c r="Q40" s="1694">
        <v>6.6</v>
      </c>
      <c r="R40" s="103">
        <v>3427882</v>
      </c>
      <c r="S40" s="104">
        <v>2.4</v>
      </c>
      <c r="T40" s="105">
        <v>13278717</v>
      </c>
      <c r="U40" s="104">
        <v>9.1999999999999993</v>
      </c>
      <c r="V40" s="105" t="s">
        <v>148</v>
      </c>
      <c r="W40" s="104" t="s">
        <v>148</v>
      </c>
      <c r="X40" s="105">
        <v>8157957</v>
      </c>
      <c r="Y40" s="1694">
        <v>5.6</v>
      </c>
      <c r="Z40" s="103">
        <v>1186612</v>
      </c>
      <c r="AA40" s="104">
        <v>0.8</v>
      </c>
      <c r="AB40" s="105" t="s">
        <v>148</v>
      </c>
      <c r="AC40" s="1695" t="s">
        <v>148</v>
      </c>
      <c r="AD40" s="122">
        <v>145040626</v>
      </c>
      <c r="AE40" s="1777">
        <v>100</v>
      </c>
      <c r="AF40" s="333"/>
    </row>
    <row r="41" spans="1:32" ht="15.75" customHeight="1">
      <c r="A41" s="236" t="s">
        <v>209</v>
      </c>
      <c r="B41" s="140">
        <v>606189</v>
      </c>
      <c r="C41" s="136">
        <v>0.4</v>
      </c>
      <c r="D41" s="141">
        <v>13158157</v>
      </c>
      <c r="E41" s="136">
        <v>8.1999999999999993</v>
      </c>
      <c r="F41" s="141">
        <v>77586128</v>
      </c>
      <c r="G41" s="136">
        <v>48.4</v>
      </c>
      <c r="H41" s="141">
        <v>18480799</v>
      </c>
      <c r="I41" s="1677">
        <v>11.5</v>
      </c>
      <c r="J41" s="140">
        <v>159222</v>
      </c>
      <c r="K41" s="136">
        <v>0.1</v>
      </c>
      <c r="L41" s="141">
        <v>180143</v>
      </c>
      <c r="M41" s="136">
        <v>0.1</v>
      </c>
      <c r="N41" s="141">
        <v>396703</v>
      </c>
      <c r="O41" s="136">
        <v>0.3</v>
      </c>
      <c r="P41" s="1713">
        <v>18781827</v>
      </c>
      <c r="Q41" s="1677">
        <v>11.7</v>
      </c>
      <c r="R41" s="140">
        <v>4977261</v>
      </c>
      <c r="S41" s="136">
        <v>3.1</v>
      </c>
      <c r="T41" s="141">
        <v>14641529</v>
      </c>
      <c r="U41" s="136">
        <v>9.1</v>
      </c>
      <c r="V41" s="141">
        <v>9655</v>
      </c>
      <c r="W41" s="136">
        <v>0</v>
      </c>
      <c r="X41" s="141">
        <v>11447262</v>
      </c>
      <c r="Y41" s="1677">
        <v>7.1</v>
      </c>
      <c r="Z41" s="140">
        <v>0</v>
      </c>
      <c r="AA41" s="136">
        <v>0</v>
      </c>
      <c r="AB41" s="141">
        <v>0</v>
      </c>
      <c r="AC41" s="1678">
        <v>0</v>
      </c>
      <c r="AD41" s="175">
        <v>160424875</v>
      </c>
      <c r="AE41" s="1775">
        <v>100</v>
      </c>
      <c r="AF41" s="333"/>
    </row>
    <row r="42" spans="1:32" ht="15.75" customHeight="1">
      <c r="A42" s="320" t="s">
        <v>273</v>
      </c>
      <c r="B42" s="103">
        <v>467169</v>
      </c>
      <c r="C42" s="104">
        <v>0.4</v>
      </c>
      <c r="D42" s="105">
        <v>8657786</v>
      </c>
      <c r="E42" s="104">
        <v>7.1</v>
      </c>
      <c r="F42" s="105">
        <v>64794962</v>
      </c>
      <c r="G42" s="104">
        <v>52.8</v>
      </c>
      <c r="H42" s="105">
        <v>14240756</v>
      </c>
      <c r="I42" s="1694">
        <v>11.6</v>
      </c>
      <c r="J42" s="103">
        <v>229840</v>
      </c>
      <c r="K42" s="104">
        <v>0.2</v>
      </c>
      <c r="L42" s="105">
        <v>257910</v>
      </c>
      <c r="M42" s="104">
        <v>0.2</v>
      </c>
      <c r="N42" s="105">
        <v>1475829</v>
      </c>
      <c r="O42" s="104">
        <v>1.2</v>
      </c>
      <c r="P42" s="1723">
        <v>8256350</v>
      </c>
      <c r="Q42" s="1694">
        <v>6.7</v>
      </c>
      <c r="R42" s="103">
        <v>3004431</v>
      </c>
      <c r="S42" s="104">
        <v>2.4</v>
      </c>
      <c r="T42" s="105">
        <v>11948421</v>
      </c>
      <c r="U42" s="104">
        <v>9.8000000000000007</v>
      </c>
      <c r="V42" s="105" t="s">
        <v>148</v>
      </c>
      <c r="W42" s="104" t="s">
        <v>148</v>
      </c>
      <c r="X42" s="105">
        <v>9383272</v>
      </c>
      <c r="Y42" s="1694">
        <v>7.6</v>
      </c>
      <c r="Z42" s="103" t="s">
        <v>148</v>
      </c>
      <c r="AA42" s="104" t="s">
        <v>148</v>
      </c>
      <c r="AB42" s="105" t="s">
        <v>148</v>
      </c>
      <c r="AC42" s="1695" t="s">
        <v>148</v>
      </c>
      <c r="AD42" s="122">
        <v>122716726</v>
      </c>
      <c r="AE42" s="1777">
        <v>100</v>
      </c>
      <c r="AF42" s="333"/>
    </row>
    <row r="43" spans="1:32" ht="15.75" customHeight="1">
      <c r="A43" s="236" t="s">
        <v>274</v>
      </c>
      <c r="B43" s="140">
        <v>404157</v>
      </c>
      <c r="C43" s="136">
        <v>0.4</v>
      </c>
      <c r="D43" s="141">
        <v>12676320</v>
      </c>
      <c r="E43" s="136">
        <v>12</v>
      </c>
      <c r="F43" s="141">
        <v>52101145</v>
      </c>
      <c r="G43" s="136">
        <v>49.4</v>
      </c>
      <c r="H43" s="141">
        <v>9899432</v>
      </c>
      <c r="I43" s="1677">
        <v>9.4</v>
      </c>
      <c r="J43" s="140">
        <v>23288</v>
      </c>
      <c r="K43" s="136">
        <v>0</v>
      </c>
      <c r="L43" s="141">
        <v>224831</v>
      </c>
      <c r="M43" s="136">
        <v>0.2</v>
      </c>
      <c r="N43" s="141">
        <v>601891</v>
      </c>
      <c r="O43" s="136">
        <v>0.6</v>
      </c>
      <c r="P43" s="1713">
        <v>8210838</v>
      </c>
      <c r="Q43" s="1677">
        <v>7.8</v>
      </c>
      <c r="R43" s="140">
        <v>3051042</v>
      </c>
      <c r="S43" s="136">
        <v>2.9</v>
      </c>
      <c r="T43" s="141">
        <v>12473805</v>
      </c>
      <c r="U43" s="136">
        <v>11.8</v>
      </c>
      <c r="V43" s="141" t="s">
        <v>148</v>
      </c>
      <c r="W43" s="136" t="s">
        <v>148</v>
      </c>
      <c r="X43" s="141">
        <v>5772123</v>
      </c>
      <c r="Y43" s="1677">
        <v>5.5</v>
      </c>
      <c r="Z43" s="140" t="s">
        <v>148</v>
      </c>
      <c r="AA43" s="136" t="s">
        <v>148</v>
      </c>
      <c r="AB43" s="141" t="s">
        <v>148</v>
      </c>
      <c r="AC43" s="1678" t="s">
        <v>148</v>
      </c>
      <c r="AD43" s="175">
        <v>105438872</v>
      </c>
      <c r="AE43" s="1775">
        <v>100</v>
      </c>
      <c r="AF43" s="333"/>
    </row>
    <row r="44" spans="1:32" ht="15.75" customHeight="1">
      <c r="A44" s="320" t="s">
        <v>215</v>
      </c>
      <c r="B44" s="103">
        <v>751902</v>
      </c>
      <c r="C44" s="104">
        <v>0.3</v>
      </c>
      <c r="D44" s="105">
        <v>17625118</v>
      </c>
      <c r="E44" s="104">
        <v>7.7</v>
      </c>
      <c r="F44" s="105">
        <v>118758704</v>
      </c>
      <c r="G44" s="104">
        <v>52.2</v>
      </c>
      <c r="H44" s="105">
        <v>20957803</v>
      </c>
      <c r="I44" s="1694">
        <v>9.1999999999999993</v>
      </c>
      <c r="J44" s="103">
        <v>325900</v>
      </c>
      <c r="K44" s="104">
        <v>0.1</v>
      </c>
      <c r="L44" s="105">
        <v>139542</v>
      </c>
      <c r="M44" s="104">
        <v>0.1</v>
      </c>
      <c r="N44" s="105">
        <v>4285530</v>
      </c>
      <c r="O44" s="104">
        <v>1.9</v>
      </c>
      <c r="P44" s="1723">
        <v>21270111</v>
      </c>
      <c r="Q44" s="1694">
        <v>9.4</v>
      </c>
      <c r="R44" s="103">
        <v>5348457</v>
      </c>
      <c r="S44" s="104">
        <v>2.4</v>
      </c>
      <c r="T44" s="105">
        <v>18394229</v>
      </c>
      <c r="U44" s="104">
        <v>8.1</v>
      </c>
      <c r="V44" s="105" t="s">
        <v>148</v>
      </c>
      <c r="W44" s="104" t="s">
        <v>148</v>
      </c>
      <c r="X44" s="105">
        <v>19595408</v>
      </c>
      <c r="Y44" s="1694">
        <v>8.6</v>
      </c>
      <c r="Z44" s="103" t="s">
        <v>148</v>
      </c>
      <c r="AA44" s="104" t="s">
        <v>148</v>
      </c>
      <c r="AB44" s="105" t="s">
        <v>148</v>
      </c>
      <c r="AC44" s="1695" t="s">
        <v>148</v>
      </c>
      <c r="AD44" s="122">
        <v>227452704</v>
      </c>
      <c r="AE44" s="1777">
        <v>100</v>
      </c>
      <c r="AF44" s="333"/>
    </row>
    <row r="45" spans="1:32" ht="15.75" customHeight="1">
      <c r="A45" s="236" t="s">
        <v>216</v>
      </c>
      <c r="B45" s="140">
        <v>957113</v>
      </c>
      <c r="C45" s="136">
        <v>0.4</v>
      </c>
      <c r="D45" s="141">
        <v>18731975</v>
      </c>
      <c r="E45" s="136">
        <v>8.1</v>
      </c>
      <c r="F45" s="141">
        <v>93126840</v>
      </c>
      <c r="G45" s="136">
        <v>40.4</v>
      </c>
      <c r="H45" s="141">
        <v>22728208</v>
      </c>
      <c r="I45" s="1677">
        <v>9.9</v>
      </c>
      <c r="J45" s="140">
        <v>298402</v>
      </c>
      <c r="K45" s="136">
        <v>0.1</v>
      </c>
      <c r="L45" s="141">
        <v>2908092</v>
      </c>
      <c r="M45" s="136">
        <v>1.3</v>
      </c>
      <c r="N45" s="141">
        <v>9583516</v>
      </c>
      <c r="O45" s="136">
        <v>4.2</v>
      </c>
      <c r="P45" s="1713">
        <v>24764997</v>
      </c>
      <c r="Q45" s="1677">
        <v>11.6</v>
      </c>
      <c r="R45" s="140">
        <v>6620411</v>
      </c>
      <c r="S45" s="136">
        <v>2.9</v>
      </c>
      <c r="T45" s="141">
        <v>25366365</v>
      </c>
      <c r="U45" s="136">
        <v>11</v>
      </c>
      <c r="V45" s="141">
        <v>0</v>
      </c>
      <c r="W45" s="136">
        <v>0</v>
      </c>
      <c r="X45" s="141">
        <v>23226746</v>
      </c>
      <c r="Y45" s="1677">
        <v>10.1</v>
      </c>
      <c r="Z45" s="140" t="s">
        <v>148</v>
      </c>
      <c r="AA45" s="136" t="s">
        <v>148</v>
      </c>
      <c r="AB45" s="141" t="s">
        <v>148</v>
      </c>
      <c r="AC45" s="1678" t="s">
        <v>148</v>
      </c>
      <c r="AD45" s="175">
        <v>230312665</v>
      </c>
      <c r="AE45" s="1775">
        <v>100</v>
      </c>
      <c r="AF45" s="333"/>
    </row>
    <row r="46" spans="1:32" ht="15.75" customHeight="1">
      <c r="A46" s="320" t="s">
        <v>218</v>
      </c>
      <c r="B46" s="103">
        <v>799789</v>
      </c>
      <c r="C46" s="104">
        <v>0.4</v>
      </c>
      <c r="D46" s="105">
        <v>23898969</v>
      </c>
      <c r="E46" s="104">
        <v>10.7</v>
      </c>
      <c r="F46" s="105">
        <v>114208278</v>
      </c>
      <c r="G46" s="104">
        <v>50.9</v>
      </c>
      <c r="H46" s="105">
        <v>20296004</v>
      </c>
      <c r="I46" s="1694">
        <v>9</v>
      </c>
      <c r="J46" s="103">
        <v>165831</v>
      </c>
      <c r="K46" s="104">
        <v>0.1</v>
      </c>
      <c r="L46" s="105">
        <v>192970</v>
      </c>
      <c r="M46" s="104">
        <v>0.1</v>
      </c>
      <c r="N46" s="105">
        <v>1503746</v>
      </c>
      <c r="O46" s="104">
        <v>0.7</v>
      </c>
      <c r="P46" s="1723">
        <v>15007989</v>
      </c>
      <c r="Q46" s="1694">
        <v>6.7</v>
      </c>
      <c r="R46" s="103">
        <v>4948258</v>
      </c>
      <c r="S46" s="104">
        <v>2.2000000000000002</v>
      </c>
      <c r="T46" s="105">
        <v>19380456</v>
      </c>
      <c r="U46" s="104">
        <v>8.6</v>
      </c>
      <c r="V46" s="105">
        <v>2</v>
      </c>
      <c r="W46" s="104">
        <v>0</v>
      </c>
      <c r="X46" s="105">
        <v>23897461</v>
      </c>
      <c r="Y46" s="1694">
        <v>10.6</v>
      </c>
      <c r="Z46" s="103">
        <v>0</v>
      </c>
      <c r="AA46" s="104">
        <v>0</v>
      </c>
      <c r="AB46" s="105">
        <v>0</v>
      </c>
      <c r="AC46" s="1695">
        <v>0</v>
      </c>
      <c r="AD46" s="122">
        <v>224299753</v>
      </c>
      <c r="AE46" s="1777">
        <v>100</v>
      </c>
      <c r="AF46" s="333"/>
    </row>
    <row r="47" spans="1:32" ht="15.75" customHeight="1">
      <c r="A47" s="236" t="s">
        <v>275</v>
      </c>
      <c r="B47" s="140">
        <v>520261</v>
      </c>
      <c r="C47" s="136">
        <v>0.4</v>
      </c>
      <c r="D47" s="141">
        <v>10380210</v>
      </c>
      <c r="E47" s="136">
        <v>8.1999999999999993</v>
      </c>
      <c r="F47" s="141">
        <v>63275782</v>
      </c>
      <c r="G47" s="136">
        <v>50</v>
      </c>
      <c r="H47" s="141">
        <v>13230297</v>
      </c>
      <c r="I47" s="1677">
        <v>10.5</v>
      </c>
      <c r="J47" s="140">
        <v>126844</v>
      </c>
      <c r="K47" s="136">
        <v>0.1</v>
      </c>
      <c r="L47" s="141">
        <v>453679</v>
      </c>
      <c r="M47" s="136">
        <v>0.4</v>
      </c>
      <c r="N47" s="141">
        <v>1909965</v>
      </c>
      <c r="O47" s="136">
        <v>1.5</v>
      </c>
      <c r="P47" s="1713">
        <v>9545484</v>
      </c>
      <c r="Q47" s="1677">
        <v>7.5</v>
      </c>
      <c r="R47" s="140">
        <v>2654265</v>
      </c>
      <c r="S47" s="136">
        <v>2.1</v>
      </c>
      <c r="T47" s="141">
        <v>12590173</v>
      </c>
      <c r="U47" s="136">
        <v>10</v>
      </c>
      <c r="V47" s="141" t="s">
        <v>153</v>
      </c>
      <c r="W47" s="136" t="s">
        <v>153</v>
      </c>
      <c r="X47" s="141">
        <v>11839303</v>
      </c>
      <c r="Y47" s="1677">
        <v>9.4</v>
      </c>
      <c r="Z47" s="140" t="s">
        <v>153</v>
      </c>
      <c r="AA47" s="136" t="s">
        <v>153</v>
      </c>
      <c r="AB47" s="141" t="s">
        <v>153</v>
      </c>
      <c r="AC47" s="1678" t="s">
        <v>153</v>
      </c>
      <c r="AD47" s="175">
        <v>126526263</v>
      </c>
      <c r="AE47" s="1775">
        <v>100</v>
      </c>
      <c r="AF47" s="333"/>
    </row>
    <row r="48" spans="1:32" ht="15.75" customHeight="1">
      <c r="A48" s="320" t="s">
        <v>220</v>
      </c>
      <c r="B48" s="103">
        <v>832152</v>
      </c>
      <c r="C48" s="104">
        <v>0.4</v>
      </c>
      <c r="D48" s="105">
        <v>22026989</v>
      </c>
      <c r="E48" s="104">
        <v>11</v>
      </c>
      <c r="F48" s="105">
        <v>92334570</v>
      </c>
      <c r="G48" s="104">
        <v>46.1</v>
      </c>
      <c r="H48" s="105">
        <v>20507212</v>
      </c>
      <c r="I48" s="1694">
        <v>10.3</v>
      </c>
      <c r="J48" s="103">
        <v>416318</v>
      </c>
      <c r="K48" s="104">
        <v>0.2</v>
      </c>
      <c r="L48" s="105">
        <v>159835</v>
      </c>
      <c r="M48" s="104">
        <v>0.1</v>
      </c>
      <c r="N48" s="105">
        <v>799374</v>
      </c>
      <c r="O48" s="104">
        <v>0.4</v>
      </c>
      <c r="P48" s="1723">
        <v>13799298</v>
      </c>
      <c r="Q48" s="1694">
        <v>6.9</v>
      </c>
      <c r="R48" s="103">
        <v>7021868</v>
      </c>
      <c r="S48" s="104">
        <v>3.5</v>
      </c>
      <c r="T48" s="105">
        <v>27854248</v>
      </c>
      <c r="U48" s="104">
        <v>13.9</v>
      </c>
      <c r="V48" s="105" t="s">
        <v>153</v>
      </c>
      <c r="W48" s="104" t="s">
        <v>153</v>
      </c>
      <c r="X48" s="105">
        <v>14398468</v>
      </c>
      <c r="Y48" s="1694">
        <v>7.2</v>
      </c>
      <c r="Z48" s="103" t="s">
        <v>153</v>
      </c>
      <c r="AA48" s="104" t="s">
        <v>153</v>
      </c>
      <c r="AB48" s="105" t="s">
        <v>153</v>
      </c>
      <c r="AC48" s="1695" t="s">
        <v>153</v>
      </c>
      <c r="AD48" s="122">
        <v>200150332</v>
      </c>
      <c r="AE48" s="1777">
        <v>100</v>
      </c>
      <c r="AF48" s="333"/>
    </row>
    <row r="49" spans="1:32" ht="15.75" customHeight="1">
      <c r="A49" s="236" t="s">
        <v>221</v>
      </c>
      <c r="B49" s="238">
        <v>643496</v>
      </c>
      <c r="C49" s="242">
        <v>0.4</v>
      </c>
      <c r="D49" s="241">
        <v>16095509</v>
      </c>
      <c r="E49" s="242">
        <v>10.6</v>
      </c>
      <c r="F49" s="241">
        <v>70503004</v>
      </c>
      <c r="G49" s="242">
        <v>46.7</v>
      </c>
      <c r="H49" s="241">
        <v>15072443</v>
      </c>
      <c r="I49" s="1683">
        <v>10</v>
      </c>
      <c r="J49" s="238">
        <v>104680</v>
      </c>
      <c r="K49" s="242">
        <v>0.1</v>
      </c>
      <c r="L49" s="241">
        <v>604828</v>
      </c>
      <c r="M49" s="242">
        <v>0.4</v>
      </c>
      <c r="N49" s="241">
        <v>2062158</v>
      </c>
      <c r="O49" s="242">
        <v>1.4</v>
      </c>
      <c r="P49" s="1720">
        <v>9855474</v>
      </c>
      <c r="Q49" s="1683">
        <v>6.5</v>
      </c>
      <c r="R49" s="238">
        <v>4222086</v>
      </c>
      <c r="S49" s="242">
        <v>2.8</v>
      </c>
      <c r="T49" s="241">
        <v>13355430</v>
      </c>
      <c r="U49" s="242">
        <v>8.8000000000000007</v>
      </c>
      <c r="V49" s="241">
        <v>5955</v>
      </c>
      <c r="W49" s="242">
        <v>0</v>
      </c>
      <c r="X49" s="241">
        <v>18445839</v>
      </c>
      <c r="Y49" s="1683">
        <v>12.2</v>
      </c>
      <c r="Z49" s="238">
        <v>90720</v>
      </c>
      <c r="AA49" s="242">
        <v>0.1</v>
      </c>
      <c r="AB49" s="241" t="s">
        <v>148</v>
      </c>
      <c r="AC49" s="1684" t="s">
        <v>148</v>
      </c>
      <c r="AD49" s="252">
        <v>151061622</v>
      </c>
      <c r="AE49" s="1775">
        <v>100</v>
      </c>
      <c r="AF49" s="333"/>
    </row>
    <row r="50" spans="1:32" ht="15.75" customHeight="1">
      <c r="A50" s="320" t="s">
        <v>223</v>
      </c>
      <c r="B50" s="75">
        <v>831756</v>
      </c>
      <c r="C50" s="74">
        <v>0.5</v>
      </c>
      <c r="D50" s="76">
        <v>15538764</v>
      </c>
      <c r="E50" s="74">
        <v>9.4</v>
      </c>
      <c r="F50" s="76">
        <v>79798976</v>
      </c>
      <c r="G50" s="74">
        <v>48.4</v>
      </c>
      <c r="H50" s="76">
        <v>11993034</v>
      </c>
      <c r="I50" s="1686">
        <v>7.3</v>
      </c>
      <c r="J50" s="75">
        <v>186392</v>
      </c>
      <c r="K50" s="74">
        <v>0.1</v>
      </c>
      <c r="L50" s="76">
        <v>1129380</v>
      </c>
      <c r="M50" s="74">
        <v>0.7</v>
      </c>
      <c r="N50" s="76">
        <v>3844574</v>
      </c>
      <c r="O50" s="74">
        <v>2.2999999999999998</v>
      </c>
      <c r="P50" s="1726">
        <v>17785634</v>
      </c>
      <c r="Q50" s="1686">
        <v>10.8</v>
      </c>
      <c r="R50" s="75">
        <v>4307292</v>
      </c>
      <c r="S50" s="74">
        <v>2.6</v>
      </c>
      <c r="T50" s="76">
        <v>13011302</v>
      </c>
      <c r="U50" s="74">
        <v>7.9</v>
      </c>
      <c r="V50" s="76">
        <v>243780</v>
      </c>
      <c r="W50" s="74">
        <v>0.1</v>
      </c>
      <c r="X50" s="76">
        <v>16373140</v>
      </c>
      <c r="Y50" s="1686">
        <v>9.9</v>
      </c>
      <c r="Z50" s="75">
        <v>0</v>
      </c>
      <c r="AA50" s="74">
        <v>0</v>
      </c>
      <c r="AB50" s="76">
        <v>0</v>
      </c>
      <c r="AC50" s="1687">
        <v>0</v>
      </c>
      <c r="AD50" s="188">
        <v>165044024</v>
      </c>
      <c r="AE50" s="1777">
        <v>100</v>
      </c>
      <c r="AF50" s="333"/>
    </row>
    <row r="51" spans="1:32" ht="15.75" customHeight="1">
      <c r="A51" s="236" t="s">
        <v>276</v>
      </c>
      <c r="B51" s="238">
        <v>439051</v>
      </c>
      <c r="C51" s="242">
        <v>0.4</v>
      </c>
      <c r="D51" s="241">
        <v>11893687</v>
      </c>
      <c r="E51" s="242">
        <v>10.6</v>
      </c>
      <c r="F51" s="241">
        <v>37390485</v>
      </c>
      <c r="G51" s="242">
        <v>33.299999999999997</v>
      </c>
      <c r="H51" s="241">
        <v>10579376</v>
      </c>
      <c r="I51" s="1683">
        <v>9.4</v>
      </c>
      <c r="J51" s="238">
        <v>0</v>
      </c>
      <c r="K51" s="242">
        <v>0</v>
      </c>
      <c r="L51" s="241">
        <v>3753838</v>
      </c>
      <c r="M51" s="242">
        <v>3.3</v>
      </c>
      <c r="N51" s="241">
        <v>16819608</v>
      </c>
      <c r="O51" s="242">
        <v>14.9</v>
      </c>
      <c r="P51" s="1720">
        <v>7247545</v>
      </c>
      <c r="Q51" s="1683">
        <v>6.4</v>
      </c>
      <c r="R51" s="238">
        <v>2664063</v>
      </c>
      <c r="S51" s="242">
        <v>2.4</v>
      </c>
      <c r="T51" s="241">
        <v>11300589</v>
      </c>
      <c r="U51" s="242">
        <v>10.1</v>
      </c>
      <c r="V51" s="241">
        <v>543193</v>
      </c>
      <c r="W51" s="242">
        <v>0.5</v>
      </c>
      <c r="X51" s="241">
        <v>9739489</v>
      </c>
      <c r="Y51" s="1683">
        <v>8.6999999999999993</v>
      </c>
      <c r="Z51" s="238">
        <v>0</v>
      </c>
      <c r="AA51" s="242">
        <v>0</v>
      </c>
      <c r="AB51" s="241">
        <v>0</v>
      </c>
      <c r="AC51" s="1684">
        <v>0</v>
      </c>
      <c r="AD51" s="252">
        <v>112370924</v>
      </c>
      <c r="AE51" s="1775">
        <v>100</v>
      </c>
      <c r="AF51" s="333"/>
    </row>
    <row r="52" spans="1:32" ht="15.75" customHeight="1">
      <c r="A52" s="320" t="s">
        <v>277</v>
      </c>
      <c r="B52" s="103">
        <v>478284</v>
      </c>
      <c r="C52" s="104">
        <v>0.4</v>
      </c>
      <c r="D52" s="105">
        <v>15812579</v>
      </c>
      <c r="E52" s="104">
        <v>14.1</v>
      </c>
      <c r="F52" s="105">
        <v>40159191</v>
      </c>
      <c r="G52" s="104">
        <v>36</v>
      </c>
      <c r="H52" s="105">
        <v>12588376</v>
      </c>
      <c r="I52" s="1694">
        <v>11.3</v>
      </c>
      <c r="J52" s="103">
        <v>342988</v>
      </c>
      <c r="K52" s="104">
        <v>0.3</v>
      </c>
      <c r="L52" s="105">
        <v>2837703</v>
      </c>
      <c r="M52" s="104">
        <v>2.5</v>
      </c>
      <c r="N52" s="105">
        <v>3493282</v>
      </c>
      <c r="O52" s="104">
        <v>3.1</v>
      </c>
      <c r="P52" s="1723">
        <v>8895731</v>
      </c>
      <c r="Q52" s="1694">
        <v>8</v>
      </c>
      <c r="R52" s="103">
        <v>2442928</v>
      </c>
      <c r="S52" s="104">
        <v>2.2000000000000002</v>
      </c>
      <c r="T52" s="105">
        <v>11267531</v>
      </c>
      <c r="U52" s="104">
        <v>2.2000000000000002</v>
      </c>
      <c r="V52" s="105">
        <v>1183434</v>
      </c>
      <c r="W52" s="104">
        <v>1.1000000000000001</v>
      </c>
      <c r="X52" s="105">
        <v>11581811</v>
      </c>
      <c r="Y52" s="1694">
        <v>10.4</v>
      </c>
      <c r="Z52" s="103">
        <v>608803</v>
      </c>
      <c r="AA52" s="104">
        <v>0.5</v>
      </c>
      <c r="AB52" s="105">
        <v>0</v>
      </c>
      <c r="AC52" s="1695">
        <v>0</v>
      </c>
      <c r="AD52" s="122">
        <v>111693641</v>
      </c>
      <c r="AE52" s="1777">
        <v>100</v>
      </c>
      <c r="AF52" s="333"/>
    </row>
    <row r="53" spans="1:32" ht="15.75" customHeight="1">
      <c r="A53" s="236" t="s">
        <v>226</v>
      </c>
      <c r="B53" s="140">
        <v>834561</v>
      </c>
      <c r="C53" s="136">
        <v>0.4</v>
      </c>
      <c r="D53" s="141">
        <v>23944453</v>
      </c>
      <c r="E53" s="136">
        <v>11.1</v>
      </c>
      <c r="F53" s="141">
        <v>84600035</v>
      </c>
      <c r="G53" s="136">
        <v>39.299999999999997</v>
      </c>
      <c r="H53" s="141">
        <v>27069510</v>
      </c>
      <c r="I53" s="1677">
        <v>12.6</v>
      </c>
      <c r="J53" s="140">
        <v>629012</v>
      </c>
      <c r="K53" s="136">
        <v>0.3</v>
      </c>
      <c r="L53" s="141">
        <v>3962757</v>
      </c>
      <c r="M53" s="136">
        <v>1.8</v>
      </c>
      <c r="N53" s="141">
        <v>2366976</v>
      </c>
      <c r="O53" s="136">
        <v>1.1000000000000001</v>
      </c>
      <c r="P53" s="1713">
        <v>23623771</v>
      </c>
      <c r="Q53" s="1677">
        <v>11</v>
      </c>
      <c r="R53" s="140">
        <v>5339908</v>
      </c>
      <c r="S53" s="136">
        <v>2.5</v>
      </c>
      <c r="T53" s="141">
        <v>23931510</v>
      </c>
      <c r="U53" s="136">
        <v>11.1</v>
      </c>
      <c r="V53" s="141">
        <v>47761</v>
      </c>
      <c r="W53" s="136">
        <v>0</v>
      </c>
      <c r="X53" s="141">
        <v>18932910</v>
      </c>
      <c r="Y53" s="1677">
        <v>8.8000000000000007</v>
      </c>
      <c r="Z53" s="140">
        <v>3632</v>
      </c>
      <c r="AA53" s="136">
        <v>0</v>
      </c>
      <c r="AB53" s="141">
        <v>0</v>
      </c>
      <c r="AC53" s="1678">
        <v>0</v>
      </c>
      <c r="AD53" s="175">
        <v>215286796</v>
      </c>
      <c r="AE53" s="1775">
        <v>100</v>
      </c>
      <c r="AF53" s="333"/>
    </row>
    <row r="54" spans="1:32" ht="15.75" customHeight="1">
      <c r="A54" s="320" t="s">
        <v>278</v>
      </c>
      <c r="B54" s="103">
        <v>527206</v>
      </c>
      <c r="C54" s="104">
        <v>0.5</v>
      </c>
      <c r="D54" s="105">
        <v>11058866</v>
      </c>
      <c r="E54" s="104">
        <v>10.199999999999999</v>
      </c>
      <c r="F54" s="105">
        <v>39545027</v>
      </c>
      <c r="G54" s="104">
        <v>36.299999999999997</v>
      </c>
      <c r="H54" s="105">
        <v>10158968</v>
      </c>
      <c r="I54" s="1694">
        <v>9.3000000000000007</v>
      </c>
      <c r="J54" s="103">
        <v>589948</v>
      </c>
      <c r="K54" s="104">
        <v>0.6</v>
      </c>
      <c r="L54" s="105">
        <v>1860619</v>
      </c>
      <c r="M54" s="104">
        <v>1.7</v>
      </c>
      <c r="N54" s="105">
        <v>5776827</v>
      </c>
      <c r="O54" s="104">
        <v>5.3</v>
      </c>
      <c r="P54" s="1723">
        <v>10443562</v>
      </c>
      <c r="Q54" s="1694">
        <v>9.6</v>
      </c>
      <c r="R54" s="103">
        <v>3687174</v>
      </c>
      <c r="S54" s="104">
        <v>3.4</v>
      </c>
      <c r="T54" s="105">
        <v>10470390</v>
      </c>
      <c r="U54" s="104">
        <v>9.6</v>
      </c>
      <c r="V54" s="105">
        <v>2520316</v>
      </c>
      <c r="W54" s="104">
        <v>2.2999999999999998</v>
      </c>
      <c r="X54" s="105">
        <v>11966244</v>
      </c>
      <c r="Y54" s="1694">
        <v>11</v>
      </c>
      <c r="Z54" s="103">
        <v>231698</v>
      </c>
      <c r="AA54" s="104">
        <v>0.2</v>
      </c>
      <c r="AB54" s="628" t="s">
        <v>153</v>
      </c>
      <c r="AC54" s="1487" t="s">
        <v>153</v>
      </c>
      <c r="AD54" s="122">
        <v>108836845</v>
      </c>
      <c r="AE54" s="1777">
        <v>100</v>
      </c>
      <c r="AF54" s="333"/>
    </row>
    <row r="55" spans="1:32" ht="15.75" customHeight="1">
      <c r="A55" s="236" t="s">
        <v>228</v>
      </c>
      <c r="B55" s="140">
        <v>720522</v>
      </c>
      <c r="C55" s="136">
        <v>0.3</v>
      </c>
      <c r="D55" s="141">
        <v>20790359</v>
      </c>
      <c r="E55" s="136">
        <v>9.6999999999999993</v>
      </c>
      <c r="F55" s="141">
        <v>84025293</v>
      </c>
      <c r="G55" s="136">
        <v>39.299999999999997</v>
      </c>
      <c r="H55" s="141">
        <v>33479117</v>
      </c>
      <c r="I55" s="1677">
        <v>15.7</v>
      </c>
      <c r="J55" s="140">
        <v>721010</v>
      </c>
      <c r="K55" s="136">
        <v>0.3</v>
      </c>
      <c r="L55" s="141">
        <v>2327186</v>
      </c>
      <c r="M55" s="136">
        <v>1.1000000000000001</v>
      </c>
      <c r="N55" s="141">
        <v>3535976</v>
      </c>
      <c r="O55" s="136">
        <v>1.7</v>
      </c>
      <c r="P55" s="1713">
        <v>18850218</v>
      </c>
      <c r="Q55" s="1677">
        <v>8.8000000000000007</v>
      </c>
      <c r="R55" s="140">
        <v>5765896</v>
      </c>
      <c r="S55" s="136">
        <v>2.7</v>
      </c>
      <c r="T55" s="141">
        <v>26992444</v>
      </c>
      <c r="U55" s="136">
        <v>12.6</v>
      </c>
      <c r="V55" s="141">
        <v>126282</v>
      </c>
      <c r="W55" s="136">
        <v>0.1</v>
      </c>
      <c r="X55" s="141">
        <v>16489461</v>
      </c>
      <c r="Y55" s="1677">
        <v>7.7</v>
      </c>
      <c r="Z55" s="146">
        <v>0</v>
      </c>
      <c r="AA55" s="242">
        <v>0</v>
      </c>
      <c r="AB55" s="1713">
        <v>0</v>
      </c>
      <c r="AC55" s="242">
        <v>0</v>
      </c>
      <c r="AD55" s="175">
        <f>B55+D55+F55+H55+J55+L55+N55+P55+R55+T55+V55+X55+Z55+AB55</f>
        <v>213823764</v>
      </c>
      <c r="AE55" s="1775">
        <f>C55+E55+G55+I55+K55+M55+O55+Q55+S55+U55+W55+Y55+AA55+AC55</f>
        <v>99.999999999999986</v>
      </c>
      <c r="AF55" s="333"/>
    </row>
    <row r="56" spans="1:32" ht="15.75" customHeight="1">
      <c r="A56" s="320" t="s">
        <v>229</v>
      </c>
      <c r="B56" s="507">
        <v>539192</v>
      </c>
      <c r="C56" s="566">
        <v>0.4</v>
      </c>
      <c r="D56" s="565">
        <v>25656830</v>
      </c>
      <c r="E56" s="566">
        <v>17.7</v>
      </c>
      <c r="F56" s="565">
        <v>47393554</v>
      </c>
      <c r="G56" s="566">
        <v>32.700000000000003</v>
      </c>
      <c r="H56" s="565">
        <v>15909579</v>
      </c>
      <c r="I56" s="1710">
        <v>11</v>
      </c>
      <c r="J56" s="507">
        <v>208917</v>
      </c>
      <c r="K56" s="566">
        <v>0.1</v>
      </c>
      <c r="L56" s="565">
        <v>4503167</v>
      </c>
      <c r="M56" s="566">
        <v>3.1</v>
      </c>
      <c r="N56" s="565">
        <v>4592729</v>
      </c>
      <c r="O56" s="566">
        <v>3.2</v>
      </c>
      <c r="P56" s="1717">
        <v>15359527</v>
      </c>
      <c r="Q56" s="1710">
        <v>10.6</v>
      </c>
      <c r="R56" s="507">
        <v>3292624</v>
      </c>
      <c r="S56" s="566">
        <v>2.2999999999999998</v>
      </c>
      <c r="T56" s="565">
        <v>11353042</v>
      </c>
      <c r="U56" s="566">
        <v>7.8</v>
      </c>
      <c r="V56" s="565">
        <v>491594</v>
      </c>
      <c r="W56" s="566">
        <v>0.3</v>
      </c>
      <c r="X56" s="565">
        <v>15594165</v>
      </c>
      <c r="Y56" s="1710">
        <v>10.8</v>
      </c>
      <c r="Z56" s="507">
        <v>31065</v>
      </c>
      <c r="AA56" s="566">
        <v>0</v>
      </c>
      <c r="AB56" s="674" t="s">
        <v>148</v>
      </c>
      <c r="AC56" s="1779" t="s">
        <v>148</v>
      </c>
      <c r="AD56" s="682">
        <v>144925985</v>
      </c>
      <c r="AE56" s="1780">
        <v>100.00000000000001</v>
      </c>
      <c r="AF56" s="333"/>
    </row>
    <row r="57" spans="1:32" ht="15.75" customHeight="1">
      <c r="A57" s="236" t="s">
        <v>230</v>
      </c>
      <c r="B57" s="140">
        <v>688519</v>
      </c>
      <c r="C57" s="136">
        <v>0.4</v>
      </c>
      <c r="D57" s="141">
        <v>16349055</v>
      </c>
      <c r="E57" s="136">
        <v>9.4</v>
      </c>
      <c r="F57" s="141">
        <v>77086512</v>
      </c>
      <c r="G57" s="136">
        <v>44.4</v>
      </c>
      <c r="H57" s="141">
        <v>17982077</v>
      </c>
      <c r="I57" s="1677">
        <v>10.4</v>
      </c>
      <c r="J57" s="140">
        <v>198635</v>
      </c>
      <c r="K57" s="136">
        <v>0.1</v>
      </c>
      <c r="L57" s="141">
        <v>2095406</v>
      </c>
      <c r="M57" s="136">
        <v>1.2</v>
      </c>
      <c r="N57" s="141">
        <v>3838333</v>
      </c>
      <c r="O57" s="136">
        <v>2.2000000000000002</v>
      </c>
      <c r="P57" s="1713">
        <v>13112618</v>
      </c>
      <c r="Q57" s="1677">
        <v>7.6</v>
      </c>
      <c r="R57" s="140">
        <v>5014213</v>
      </c>
      <c r="S57" s="136">
        <v>2.9</v>
      </c>
      <c r="T57" s="141">
        <v>18893469</v>
      </c>
      <c r="U57" s="136">
        <v>10.9</v>
      </c>
      <c r="V57" s="141">
        <v>2615</v>
      </c>
      <c r="W57" s="136">
        <v>0</v>
      </c>
      <c r="X57" s="141">
        <v>18163727</v>
      </c>
      <c r="Y57" s="1677">
        <v>10.5</v>
      </c>
      <c r="Z57" s="140" t="s">
        <v>148</v>
      </c>
      <c r="AA57" s="136" t="s">
        <v>148</v>
      </c>
      <c r="AB57" s="141" t="s">
        <v>148</v>
      </c>
      <c r="AC57" s="1678" t="s">
        <v>148</v>
      </c>
      <c r="AD57" s="175">
        <v>173425179</v>
      </c>
      <c r="AE57" s="1775">
        <v>100.00000000000001</v>
      </c>
      <c r="AF57" s="333"/>
    </row>
    <row r="58" spans="1:32" ht="15.75" customHeight="1">
      <c r="A58" s="320" t="s">
        <v>231</v>
      </c>
      <c r="B58" s="75">
        <v>787821</v>
      </c>
      <c r="C58" s="74">
        <v>0.4</v>
      </c>
      <c r="D58" s="76">
        <v>15649535</v>
      </c>
      <c r="E58" s="74">
        <v>7.5</v>
      </c>
      <c r="F58" s="76">
        <v>102182136</v>
      </c>
      <c r="G58" s="74">
        <v>48.7</v>
      </c>
      <c r="H58" s="76">
        <v>20344013</v>
      </c>
      <c r="I58" s="1686">
        <v>9.6999999999999993</v>
      </c>
      <c r="J58" s="75">
        <v>399023</v>
      </c>
      <c r="K58" s="74">
        <v>0.2</v>
      </c>
      <c r="L58" s="76">
        <v>2660694</v>
      </c>
      <c r="M58" s="74">
        <v>1.3</v>
      </c>
      <c r="N58" s="76">
        <v>9740122</v>
      </c>
      <c r="O58" s="74">
        <v>4.5999999999999996</v>
      </c>
      <c r="P58" s="1726">
        <v>16219559</v>
      </c>
      <c r="Q58" s="1686">
        <v>7.7</v>
      </c>
      <c r="R58" s="75">
        <v>5389076</v>
      </c>
      <c r="S58" s="74">
        <v>2.6</v>
      </c>
      <c r="T58" s="76">
        <v>19631630</v>
      </c>
      <c r="U58" s="74">
        <v>9.4</v>
      </c>
      <c r="V58" s="76">
        <v>335191</v>
      </c>
      <c r="W58" s="74">
        <v>0.2</v>
      </c>
      <c r="X58" s="76">
        <v>16536041</v>
      </c>
      <c r="Y58" s="1686">
        <v>7.9</v>
      </c>
      <c r="Z58" s="75">
        <v>16964</v>
      </c>
      <c r="AA58" s="74">
        <v>0</v>
      </c>
      <c r="AB58" s="76">
        <v>0</v>
      </c>
      <c r="AC58" s="1687">
        <v>0</v>
      </c>
      <c r="AD58" s="188">
        <v>209891805</v>
      </c>
      <c r="AE58" s="1774">
        <v>100</v>
      </c>
      <c r="AF58" s="333"/>
    </row>
    <row r="59" spans="1:32" ht="15.75" customHeight="1">
      <c r="A59" s="236" t="s">
        <v>232</v>
      </c>
      <c r="B59" s="238">
        <v>606719</v>
      </c>
      <c r="C59" s="242">
        <v>0.4</v>
      </c>
      <c r="D59" s="241">
        <v>10659718</v>
      </c>
      <c r="E59" s="242">
        <v>6.5</v>
      </c>
      <c r="F59" s="241">
        <v>80877133</v>
      </c>
      <c r="G59" s="242">
        <v>49.6</v>
      </c>
      <c r="H59" s="241">
        <v>14271818</v>
      </c>
      <c r="I59" s="1683">
        <v>8.8000000000000007</v>
      </c>
      <c r="J59" s="238">
        <v>165345</v>
      </c>
      <c r="K59" s="242">
        <v>0.1</v>
      </c>
      <c r="L59" s="241">
        <v>2758267</v>
      </c>
      <c r="M59" s="242">
        <v>1.7</v>
      </c>
      <c r="N59" s="241">
        <v>3231375</v>
      </c>
      <c r="O59" s="242">
        <v>2</v>
      </c>
      <c r="P59" s="1720">
        <v>14241105</v>
      </c>
      <c r="Q59" s="1683">
        <v>8.6999999999999993</v>
      </c>
      <c r="R59" s="238">
        <v>4642846</v>
      </c>
      <c r="S59" s="242">
        <v>2.9</v>
      </c>
      <c r="T59" s="241">
        <v>14863398</v>
      </c>
      <c r="U59" s="242">
        <v>9.1</v>
      </c>
      <c r="V59" s="241">
        <v>175729</v>
      </c>
      <c r="W59" s="242">
        <v>0.1</v>
      </c>
      <c r="X59" s="241">
        <v>16486024</v>
      </c>
      <c r="Y59" s="1683">
        <v>10.1</v>
      </c>
      <c r="Z59" s="238">
        <v>0</v>
      </c>
      <c r="AA59" s="242">
        <v>0</v>
      </c>
      <c r="AB59" s="241">
        <v>0</v>
      </c>
      <c r="AC59" s="1684">
        <v>0</v>
      </c>
      <c r="AD59" s="252">
        <v>162979477</v>
      </c>
      <c r="AE59" s="1775">
        <v>100</v>
      </c>
      <c r="AF59" s="333"/>
    </row>
    <row r="60" spans="1:32" ht="15.75" customHeight="1">
      <c r="A60" s="320" t="s">
        <v>234</v>
      </c>
      <c r="B60" s="103">
        <v>598668</v>
      </c>
      <c r="C60" s="104">
        <v>0.4</v>
      </c>
      <c r="D60" s="105">
        <v>13444293</v>
      </c>
      <c r="E60" s="104">
        <v>9.1999999999999993</v>
      </c>
      <c r="F60" s="105">
        <v>66393582</v>
      </c>
      <c r="G60" s="104">
        <v>45.7</v>
      </c>
      <c r="H60" s="105">
        <v>13340255</v>
      </c>
      <c r="I60" s="1694">
        <v>9.1999999999999993</v>
      </c>
      <c r="J60" s="103">
        <v>237948</v>
      </c>
      <c r="K60" s="104">
        <v>0.2</v>
      </c>
      <c r="L60" s="105">
        <v>3758697</v>
      </c>
      <c r="M60" s="104">
        <v>2.6</v>
      </c>
      <c r="N60" s="105">
        <v>6702426</v>
      </c>
      <c r="O60" s="104">
        <v>4.5999999999999996</v>
      </c>
      <c r="P60" s="1723">
        <v>9754917</v>
      </c>
      <c r="Q60" s="1694">
        <v>6.7</v>
      </c>
      <c r="R60" s="103">
        <v>3256508</v>
      </c>
      <c r="S60" s="104">
        <v>2.2000000000000002</v>
      </c>
      <c r="T60" s="105">
        <v>13962954</v>
      </c>
      <c r="U60" s="104">
        <v>9.6</v>
      </c>
      <c r="V60" s="105">
        <v>482813</v>
      </c>
      <c r="W60" s="104">
        <v>0.3</v>
      </c>
      <c r="X60" s="105">
        <v>13484115</v>
      </c>
      <c r="Y60" s="1694">
        <v>9.3000000000000007</v>
      </c>
      <c r="Z60" s="103">
        <v>0</v>
      </c>
      <c r="AA60" s="104">
        <v>0</v>
      </c>
      <c r="AB60" s="105">
        <v>0</v>
      </c>
      <c r="AC60" s="1695">
        <v>0</v>
      </c>
      <c r="AD60" s="122">
        <v>145417176</v>
      </c>
      <c r="AE60" s="1777">
        <v>100</v>
      </c>
      <c r="AF60" s="333"/>
    </row>
    <row r="61" spans="1:32" ht="15.75" customHeight="1">
      <c r="A61" s="236" t="s">
        <v>236</v>
      </c>
      <c r="B61" s="234">
        <v>776768</v>
      </c>
      <c r="C61" s="242">
        <v>0.3</v>
      </c>
      <c r="D61" s="241">
        <v>29923745</v>
      </c>
      <c r="E61" s="242">
        <v>12.9</v>
      </c>
      <c r="F61" s="241">
        <v>94264630</v>
      </c>
      <c r="G61" s="242">
        <v>40.6</v>
      </c>
      <c r="H61" s="241">
        <v>31501961</v>
      </c>
      <c r="I61" s="1683">
        <v>13.6</v>
      </c>
      <c r="J61" s="234" t="s">
        <v>153</v>
      </c>
      <c r="K61" s="242" t="s">
        <v>153</v>
      </c>
      <c r="L61" s="241">
        <v>3214006</v>
      </c>
      <c r="M61" s="242">
        <v>1.4</v>
      </c>
      <c r="N61" s="241">
        <v>5059364</v>
      </c>
      <c r="O61" s="242">
        <v>2.2000000000000002</v>
      </c>
      <c r="P61" s="1720">
        <v>22739974</v>
      </c>
      <c r="Q61" s="1683">
        <v>9.8000000000000007</v>
      </c>
      <c r="R61" s="238">
        <v>4550432</v>
      </c>
      <c r="S61" s="242">
        <v>2</v>
      </c>
      <c r="T61" s="241">
        <v>13187815</v>
      </c>
      <c r="U61" s="242">
        <v>5.7</v>
      </c>
      <c r="V61" s="241">
        <v>561181</v>
      </c>
      <c r="W61" s="242">
        <v>0.2</v>
      </c>
      <c r="X61" s="241">
        <v>24837006</v>
      </c>
      <c r="Y61" s="1683">
        <v>10.7</v>
      </c>
      <c r="Z61" s="238">
        <v>1326501</v>
      </c>
      <c r="AA61" s="242">
        <v>0.6</v>
      </c>
      <c r="AB61" s="241" t="s">
        <v>153</v>
      </c>
      <c r="AC61" s="376" t="s">
        <v>153</v>
      </c>
      <c r="AD61" s="252">
        <v>231943383</v>
      </c>
      <c r="AE61" s="1775">
        <v>100</v>
      </c>
      <c r="AF61" s="333"/>
    </row>
    <row r="62" spans="1:32" ht="15.75" customHeight="1">
      <c r="A62" s="320" t="s">
        <v>279</v>
      </c>
      <c r="B62" s="110">
        <v>555241</v>
      </c>
      <c r="C62" s="104">
        <v>0.4</v>
      </c>
      <c r="D62" s="105">
        <v>15674558</v>
      </c>
      <c r="E62" s="104">
        <v>11.8</v>
      </c>
      <c r="F62" s="105">
        <v>50414682</v>
      </c>
      <c r="G62" s="104">
        <v>37.799999999999997</v>
      </c>
      <c r="H62" s="105">
        <v>11767677</v>
      </c>
      <c r="I62" s="1694">
        <v>8.8000000000000007</v>
      </c>
      <c r="J62" s="110">
        <v>70038</v>
      </c>
      <c r="K62" s="104">
        <v>0.1</v>
      </c>
      <c r="L62" s="105">
        <v>2736234</v>
      </c>
      <c r="M62" s="104">
        <v>2.1</v>
      </c>
      <c r="N62" s="105">
        <v>7178220</v>
      </c>
      <c r="O62" s="104">
        <v>5.4</v>
      </c>
      <c r="P62" s="1723">
        <v>15934207</v>
      </c>
      <c r="Q62" s="1694">
        <v>12</v>
      </c>
      <c r="R62" s="110">
        <v>3928434</v>
      </c>
      <c r="S62" s="104">
        <v>2.9</v>
      </c>
      <c r="T62" s="105">
        <v>13237936</v>
      </c>
      <c r="U62" s="104">
        <v>9.9</v>
      </c>
      <c r="V62" s="105">
        <v>707302</v>
      </c>
      <c r="W62" s="104">
        <v>0.5</v>
      </c>
      <c r="X62" s="105">
        <v>10991938</v>
      </c>
      <c r="Y62" s="1694">
        <v>8.3000000000000007</v>
      </c>
      <c r="Z62" s="110" t="s">
        <v>148</v>
      </c>
      <c r="AA62" s="104" t="s">
        <v>148</v>
      </c>
      <c r="AB62" s="105" t="s">
        <v>148</v>
      </c>
      <c r="AC62" s="204" t="s">
        <v>148</v>
      </c>
      <c r="AD62" s="122">
        <v>133196467</v>
      </c>
      <c r="AE62" s="1777">
        <v>100</v>
      </c>
      <c r="AF62" s="333"/>
    </row>
    <row r="63" spans="1:32" ht="15.75" customHeight="1">
      <c r="A63" s="236" t="s">
        <v>238</v>
      </c>
      <c r="B63" s="146">
        <v>864973</v>
      </c>
      <c r="C63" s="136">
        <v>0.4</v>
      </c>
      <c r="D63" s="141">
        <v>15194115</v>
      </c>
      <c r="E63" s="136">
        <v>7.2</v>
      </c>
      <c r="F63" s="141">
        <v>88409310</v>
      </c>
      <c r="G63" s="136">
        <v>41.7</v>
      </c>
      <c r="H63" s="141">
        <v>25254227</v>
      </c>
      <c r="I63" s="1677">
        <v>11.9</v>
      </c>
      <c r="J63" s="146">
        <v>191022</v>
      </c>
      <c r="K63" s="136">
        <v>0.1</v>
      </c>
      <c r="L63" s="141">
        <v>2555098</v>
      </c>
      <c r="M63" s="136">
        <v>1.2</v>
      </c>
      <c r="N63" s="141">
        <v>9478391</v>
      </c>
      <c r="O63" s="136">
        <v>4.5</v>
      </c>
      <c r="P63" s="1713">
        <v>19745565</v>
      </c>
      <c r="Q63" s="1677">
        <v>9.3000000000000007</v>
      </c>
      <c r="R63" s="140">
        <v>5036350</v>
      </c>
      <c r="S63" s="136">
        <v>2.4</v>
      </c>
      <c r="T63" s="141">
        <v>25599808</v>
      </c>
      <c r="U63" s="136">
        <v>12.1</v>
      </c>
      <c r="V63" s="141">
        <v>396821</v>
      </c>
      <c r="W63" s="136">
        <v>0.2</v>
      </c>
      <c r="X63" s="141">
        <v>19097645</v>
      </c>
      <c r="Y63" s="1677">
        <v>9</v>
      </c>
      <c r="Z63" s="140">
        <v>0</v>
      </c>
      <c r="AA63" s="136">
        <v>0</v>
      </c>
      <c r="AB63" s="141">
        <v>0</v>
      </c>
      <c r="AC63" s="176">
        <v>0</v>
      </c>
      <c r="AD63" s="175">
        <v>211823325</v>
      </c>
      <c r="AE63" s="1775">
        <v>100</v>
      </c>
      <c r="AF63" s="333"/>
    </row>
    <row r="64" spans="1:32" ht="15.75" customHeight="1">
      <c r="A64" s="320" t="s">
        <v>239</v>
      </c>
      <c r="B64" s="531">
        <v>669433</v>
      </c>
      <c r="C64" s="533">
        <v>0.4</v>
      </c>
      <c r="D64" s="530">
        <v>20830658</v>
      </c>
      <c r="E64" s="533">
        <v>11</v>
      </c>
      <c r="F64" s="530">
        <v>84757705</v>
      </c>
      <c r="G64" s="533">
        <v>44.9</v>
      </c>
      <c r="H64" s="530">
        <v>16762290</v>
      </c>
      <c r="I64" s="1680">
        <v>8.9</v>
      </c>
      <c r="J64" s="531">
        <v>92461</v>
      </c>
      <c r="K64" s="533">
        <v>0</v>
      </c>
      <c r="L64" s="530">
        <v>4306827</v>
      </c>
      <c r="M64" s="533">
        <v>2.2999999999999998</v>
      </c>
      <c r="N64" s="530">
        <v>6908427</v>
      </c>
      <c r="O64" s="533">
        <v>3.7</v>
      </c>
      <c r="P64" s="1715">
        <v>15982163</v>
      </c>
      <c r="Q64" s="1680">
        <v>8.5</v>
      </c>
      <c r="R64" s="531">
        <v>3634097</v>
      </c>
      <c r="S64" s="533">
        <v>1.8</v>
      </c>
      <c r="T64" s="530">
        <v>16749391</v>
      </c>
      <c r="U64" s="533">
        <v>8.9</v>
      </c>
      <c r="V64" s="530">
        <v>493345</v>
      </c>
      <c r="W64" s="533">
        <v>0.3</v>
      </c>
      <c r="X64" s="530">
        <v>17476646</v>
      </c>
      <c r="Y64" s="1680">
        <v>9.3000000000000007</v>
      </c>
      <c r="Z64" s="531" t="s">
        <v>148</v>
      </c>
      <c r="AA64" s="533" t="s">
        <v>148</v>
      </c>
      <c r="AB64" s="530" t="s">
        <v>148</v>
      </c>
      <c r="AC64" s="701" t="s">
        <v>148</v>
      </c>
      <c r="AD64" s="616">
        <v>188663443</v>
      </c>
      <c r="AE64" s="1776">
        <v>100</v>
      </c>
      <c r="AF64" s="333"/>
    </row>
    <row r="65" spans="1:32" ht="15.75" customHeight="1">
      <c r="A65" s="236" t="s">
        <v>241</v>
      </c>
      <c r="B65" s="146">
        <v>968988</v>
      </c>
      <c r="C65" s="136">
        <v>0.3</v>
      </c>
      <c r="D65" s="141">
        <v>21033473</v>
      </c>
      <c r="E65" s="136">
        <v>7.4</v>
      </c>
      <c r="F65" s="141">
        <v>143244050</v>
      </c>
      <c r="G65" s="136">
        <v>50.3</v>
      </c>
      <c r="H65" s="141">
        <v>27609771</v>
      </c>
      <c r="I65" s="1677">
        <v>9.6999999999999993</v>
      </c>
      <c r="J65" s="146">
        <v>962610</v>
      </c>
      <c r="K65" s="136">
        <v>0.3</v>
      </c>
      <c r="L65" s="141">
        <v>2638136</v>
      </c>
      <c r="M65" s="136">
        <v>0.9</v>
      </c>
      <c r="N65" s="141">
        <v>5328610</v>
      </c>
      <c r="O65" s="136">
        <v>1.9</v>
      </c>
      <c r="P65" s="1713">
        <v>23922969</v>
      </c>
      <c r="Q65" s="1677">
        <v>8.4</v>
      </c>
      <c r="R65" s="146">
        <v>5963388</v>
      </c>
      <c r="S65" s="136">
        <v>2.1</v>
      </c>
      <c r="T65" s="141">
        <v>26080904</v>
      </c>
      <c r="U65" s="136">
        <v>9.1999999999999993</v>
      </c>
      <c r="V65" s="141">
        <v>881691</v>
      </c>
      <c r="W65" s="136">
        <v>0.3</v>
      </c>
      <c r="X65" s="1713">
        <v>24597739</v>
      </c>
      <c r="Y65" s="1677">
        <v>8.6999999999999993</v>
      </c>
      <c r="Z65" s="146">
        <v>1317690</v>
      </c>
      <c r="AA65" s="136">
        <v>0.5</v>
      </c>
      <c r="AB65" s="141" t="s">
        <v>153</v>
      </c>
      <c r="AC65" s="153" t="s">
        <v>153</v>
      </c>
      <c r="AD65" s="189">
        <v>284550019</v>
      </c>
      <c r="AE65" s="1775">
        <v>100</v>
      </c>
      <c r="AF65" s="333"/>
    </row>
    <row r="66" spans="1:32" ht="15.75" customHeight="1" thickBot="1">
      <c r="A66" s="320" t="s">
        <v>243</v>
      </c>
      <c r="B66" s="103">
        <v>745962</v>
      </c>
      <c r="C66" s="104">
        <v>0.4</v>
      </c>
      <c r="D66" s="105">
        <v>18539648</v>
      </c>
      <c r="E66" s="104">
        <v>10.4</v>
      </c>
      <c r="F66" s="105">
        <v>95348167</v>
      </c>
      <c r="G66" s="104">
        <v>53.4</v>
      </c>
      <c r="H66" s="105">
        <v>13260521</v>
      </c>
      <c r="I66" s="1694">
        <v>7.4</v>
      </c>
      <c r="J66" s="103">
        <v>35220</v>
      </c>
      <c r="K66" s="104">
        <v>0</v>
      </c>
      <c r="L66" s="105">
        <v>184167</v>
      </c>
      <c r="M66" s="104">
        <v>0.1</v>
      </c>
      <c r="N66" s="105">
        <v>3811966</v>
      </c>
      <c r="O66" s="104">
        <v>2.1</v>
      </c>
      <c r="P66" s="1723">
        <v>14222793</v>
      </c>
      <c r="Q66" s="1694">
        <v>8</v>
      </c>
      <c r="R66" s="103">
        <v>3112575</v>
      </c>
      <c r="S66" s="104">
        <v>1.7</v>
      </c>
      <c r="T66" s="105">
        <v>16326612</v>
      </c>
      <c r="U66" s="104">
        <v>9.1</v>
      </c>
      <c r="V66" s="105">
        <v>0</v>
      </c>
      <c r="W66" s="104">
        <v>0</v>
      </c>
      <c r="X66" s="105">
        <v>12959415</v>
      </c>
      <c r="Y66" s="1694">
        <v>7.3</v>
      </c>
      <c r="Z66" s="103">
        <v>0</v>
      </c>
      <c r="AA66" s="104">
        <v>0</v>
      </c>
      <c r="AB66" s="105">
        <v>0</v>
      </c>
      <c r="AC66" s="1695">
        <v>0</v>
      </c>
      <c r="AD66" s="122">
        <v>178547046</v>
      </c>
      <c r="AE66" s="1777">
        <v>100</v>
      </c>
      <c r="AF66" s="333"/>
    </row>
    <row r="67" spans="1:32" ht="15.75" customHeight="1" thickTop="1">
      <c r="A67" s="298" t="s">
        <v>244</v>
      </c>
      <c r="B67" s="289">
        <f>SUM(B5:B66)</f>
        <v>41417244</v>
      </c>
      <c r="C67" s="288" t="s">
        <v>153</v>
      </c>
      <c r="D67" s="288">
        <f>SUM(D5:D66)</f>
        <v>1015615740</v>
      </c>
      <c r="E67" s="288" t="s">
        <v>153</v>
      </c>
      <c r="F67" s="288">
        <f>SUM(F5:F66)</f>
        <v>4369967516</v>
      </c>
      <c r="G67" s="288" t="s">
        <v>153</v>
      </c>
      <c r="H67" s="288">
        <f>SUM(H5:H66)</f>
        <v>1098216313</v>
      </c>
      <c r="I67" s="290" t="s">
        <v>153</v>
      </c>
      <c r="J67" s="289">
        <f>SUM(J5:J66)</f>
        <v>15639971</v>
      </c>
      <c r="K67" s="288" t="s">
        <v>153</v>
      </c>
      <c r="L67" s="288">
        <f>SUM(L5:L66)</f>
        <v>120685914</v>
      </c>
      <c r="M67" s="288" t="s">
        <v>153</v>
      </c>
      <c r="N67" s="288">
        <f>SUM(N5:N66)</f>
        <v>370964843</v>
      </c>
      <c r="O67" s="288" t="s">
        <v>153</v>
      </c>
      <c r="P67" s="288">
        <f>SUM(P5:P66)</f>
        <v>998390337</v>
      </c>
      <c r="Q67" s="290" t="s">
        <v>153</v>
      </c>
      <c r="R67" s="289">
        <f>SUM(R5:R66)</f>
        <v>278845222</v>
      </c>
      <c r="S67" s="288" t="s">
        <v>153</v>
      </c>
      <c r="T67" s="288">
        <f>SUM(T5:T66)</f>
        <v>1083402010</v>
      </c>
      <c r="U67" s="288" t="s">
        <v>153</v>
      </c>
      <c r="V67" s="288">
        <f>SUM(V5:V66)</f>
        <v>17414222</v>
      </c>
      <c r="W67" s="288" t="s">
        <v>153</v>
      </c>
      <c r="X67" s="288">
        <f>SUM(X5:X66)</f>
        <v>848522807</v>
      </c>
      <c r="Y67" s="290" t="s">
        <v>153</v>
      </c>
      <c r="Z67" s="289">
        <f>SUM(Z5:Z66)</f>
        <v>22844380</v>
      </c>
      <c r="AA67" s="288" t="s">
        <v>153</v>
      </c>
      <c r="AB67" s="288" t="s">
        <v>153</v>
      </c>
      <c r="AC67" s="297" t="s">
        <v>153</v>
      </c>
      <c r="AD67" s="308">
        <f>SUM(AD5:AD66)</f>
        <v>10283917519</v>
      </c>
      <c r="AE67" s="290" t="s">
        <v>153</v>
      </c>
    </row>
    <row r="68" spans="1:32" ht="15.75" customHeight="1">
      <c r="A68" s="434" t="s">
        <v>245</v>
      </c>
      <c r="B68" s="70">
        <f>AVERAGE(B5:B66)</f>
        <v>668020.06451612909</v>
      </c>
      <c r="C68" s="74">
        <f t="shared" ref="C68:Q68" si="0">AVERAGE(C5:C66)</f>
        <v>0.41370531340072975</v>
      </c>
      <c r="D68" s="76">
        <f t="shared" si="0"/>
        <v>16380899.032258065</v>
      </c>
      <c r="E68" s="74">
        <f t="shared" si="0"/>
        <v>10.029169981409938</v>
      </c>
      <c r="F68" s="76">
        <f t="shared" si="0"/>
        <v>70483347.032258064</v>
      </c>
      <c r="G68" s="74">
        <f t="shared" si="0"/>
        <v>42.28138236073395</v>
      </c>
      <c r="H68" s="429">
        <f t="shared" si="0"/>
        <v>17713166.338709679</v>
      </c>
      <c r="I68" s="433">
        <f t="shared" si="0"/>
        <v>10.605186709859659</v>
      </c>
      <c r="J68" s="70">
        <f t="shared" si="0"/>
        <v>256392.96721311475</v>
      </c>
      <c r="K68" s="74">
        <f t="shared" si="0"/>
        <v>0.1529176918956556</v>
      </c>
      <c r="L68" s="76">
        <f t="shared" si="0"/>
        <v>1946547</v>
      </c>
      <c r="M68" s="74">
        <f t="shared" si="0"/>
        <v>1.2365811190359282</v>
      </c>
      <c r="N68" s="76">
        <f t="shared" si="0"/>
        <v>5983303.9193548383</v>
      </c>
      <c r="O68" s="74">
        <f t="shared" si="0"/>
        <v>3.6894047154996912</v>
      </c>
      <c r="P68" s="429">
        <f t="shared" si="0"/>
        <v>16103069.951612903</v>
      </c>
      <c r="Q68" s="433">
        <f t="shared" si="0"/>
        <v>9.6311966980996058</v>
      </c>
      <c r="R68" s="70">
        <f t="shared" ref="R68:AA68" si="1">AVERAGE(R5:R66)</f>
        <v>4497503.5806451617</v>
      </c>
      <c r="S68" s="74">
        <f t="shared" si="1"/>
        <v>2.7389031146042382</v>
      </c>
      <c r="T68" s="76">
        <f t="shared" si="1"/>
        <v>17474225.967741936</v>
      </c>
      <c r="U68" s="74">
        <f t="shared" si="1"/>
        <v>10.424285836057043</v>
      </c>
      <c r="V68" s="74">
        <f t="shared" si="1"/>
        <v>334888.88461538462</v>
      </c>
      <c r="W68" s="74">
        <f t="shared" si="1"/>
        <v>0.21898623454857727</v>
      </c>
      <c r="X68" s="429">
        <f t="shared" si="1"/>
        <v>13685851.725806452</v>
      </c>
      <c r="Y68" s="433">
        <f t="shared" si="1"/>
        <v>8.3095663447776467</v>
      </c>
      <c r="Z68" s="431">
        <f t="shared" si="1"/>
        <v>617415.67567567562</v>
      </c>
      <c r="AA68" s="432">
        <f t="shared" si="1"/>
        <v>0.30564001672713303</v>
      </c>
      <c r="AB68" s="76" t="s">
        <v>153</v>
      </c>
      <c r="AC68" s="35" t="s">
        <v>153</v>
      </c>
      <c r="AD68" s="903">
        <f>AVERAGE(AD5:AD66)</f>
        <v>165869637.40322581</v>
      </c>
      <c r="AE68" s="433" t="s">
        <v>153</v>
      </c>
    </row>
    <row r="69" spans="1:32" ht="15.6">
      <c r="A69" s="442" t="s">
        <v>246</v>
      </c>
      <c r="B69" s="443"/>
      <c r="C69" s="446"/>
      <c r="D69" s="443"/>
      <c r="E69" s="446"/>
      <c r="F69" s="443"/>
      <c r="G69" s="446"/>
      <c r="H69" s="443"/>
      <c r="I69" s="446"/>
      <c r="J69" s="443"/>
      <c r="K69" s="446"/>
      <c r="L69" s="443"/>
      <c r="M69" s="446"/>
      <c r="N69" s="443"/>
      <c r="O69" s="446"/>
      <c r="P69" s="443"/>
      <c r="Q69" s="446"/>
      <c r="R69" s="443"/>
      <c r="S69" s="446"/>
      <c r="T69" s="443"/>
      <c r="U69" s="446"/>
      <c r="V69" s="466"/>
      <c r="W69" s="446"/>
      <c r="X69" s="443"/>
      <c r="Y69" s="446"/>
      <c r="Z69" s="443"/>
      <c r="AA69" s="446"/>
      <c r="AB69" s="466"/>
      <c r="AC69" s="446"/>
      <c r="AD69" s="467"/>
      <c r="AE69" s="456"/>
    </row>
    <row r="131" spans="2:31" ht="29.25" customHeight="1">
      <c r="B131" s="1959"/>
      <c r="C131" s="1959"/>
      <c r="D131" s="1959"/>
      <c r="E131" s="1959"/>
      <c r="F131" s="1959"/>
      <c r="G131" s="1959"/>
      <c r="H131" s="1959"/>
      <c r="I131" s="1959"/>
      <c r="J131" s="1959"/>
      <c r="K131" s="1959"/>
      <c r="L131" s="1959"/>
      <c r="M131" s="1959"/>
      <c r="N131" s="1959"/>
      <c r="O131" s="1959"/>
      <c r="P131" s="1959"/>
      <c r="Q131" s="1959"/>
      <c r="R131" s="1959"/>
      <c r="S131" s="1959"/>
      <c r="T131" s="1959"/>
      <c r="U131" s="1959"/>
      <c r="V131" s="1959"/>
      <c r="W131" s="1959"/>
      <c r="X131" s="1959"/>
      <c r="Y131" s="1959"/>
      <c r="Z131" s="1959"/>
      <c r="AA131" s="1959"/>
      <c r="AB131" s="1959"/>
      <c r="AC131" s="1959"/>
      <c r="AD131" s="1959"/>
      <c r="AE131" s="1959"/>
    </row>
  </sheetData>
  <customSheetViews>
    <customSheetView guid="{CFB8F6A3-286B-44DA-98E2-E06FA9DC17D9}" scale="90" showGridLines="0">
      <pane xSplit="1" ySplit="6" topLeftCell="B7" activePane="bottomRight" state="frozen"/>
      <selection pane="bottomRight" activeCell="G20" sqref="G20"/>
      <colBreaks count="3" manualBreakCount="3">
        <brk id="9" max="19" man="1"/>
        <brk id="18" max="19" man="1"/>
        <brk id="27" max="19" man="1"/>
      </colBreaks>
      <pageMargins left="0" right="0" top="0" bottom="0" header="0" footer="0"/>
      <pageSetup paperSize="9" scale="80" firstPageNumber="12" fitToWidth="0" orientation="portrait" useFirstPageNumber="1" r:id="rId1"/>
      <headerFooter alignWithMargins="0"/>
    </customSheetView>
    <customSheetView guid="{429188B7-F8E8-41E0-BAA6-8F869C883D4F}" scale="70" showGridLines="0">
      <pane xSplit="1" ySplit="6" topLeftCell="B7" activePane="bottomRight" state="frozen"/>
      <selection pane="bottomRight" activeCell="A2" sqref="A2"/>
      <colBreaks count="3" manualBreakCount="3">
        <brk id="9" min="2" max="72" man="1"/>
        <brk id="17" min="2" max="72" man="1"/>
        <brk id="25" min="2" max="72" man="1"/>
      </colBreaks>
      <pageMargins left="0" right="0" top="0" bottom="0" header="0" footer="0"/>
      <pageSetup paperSize="8" firstPageNumber="12" fitToWidth="0" orientation="portrait" r:id="rId2"/>
      <headerFooter alignWithMargins="0">
        <oddHeader xml:space="preserve">&amp;L&amp;"ＭＳ Ｐゴシック,太字"&amp;16ⅲ　目的別歳出内訳
（平成30年度）&amp;"ＭＳ Ｐゴシック,標準"&amp;11
</oddHeader>
      </headerFooter>
    </customSheetView>
  </customSheetViews>
  <mergeCells count="19">
    <mergeCell ref="T1:U2"/>
    <mergeCell ref="V1:W2"/>
    <mergeCell ref="X1:Y2"/>
    <mergeCell ref="B131:I131"/>
    <mergeCell ref="J131:Q131"/>
    <mergeCell ref="R131:Y131"/>
    <mergeCell ref="Z131:AE131"/>
    <mergeCell ref="N1:O2"/>
    <mergeCell ref="P1:Q2"/>
    <mergeCell ref="B1:C2"/>
    <mergeCell ref="D1:E2"/>
    <mergeCell ref="F1:G2"/>
    <mergeCell ref="H1:I2"/>
    <mergeCell ref="J1:K2"/>
    <mergeCell ref="L1:M2"/>
    <mergeCell ref="Z1:AA2"/>
    <mergeCell ref="AB1:AC2"/>
    <mergeCell ref="AD1:AE2"/>
    <mergeCell ref="R1:S2"/>
  </mergeCells>
  <phoneticPr fontId="2"/>
  <dataValidations count="1">
    <dataValidation imeMode="disabled" allowBlank="1" showInputMessage="1" showErrorMessage="1" sqref="B5:AE66" xr:uid="{00000000-0002-0000-0B00-000000000000}"/>
  </dataValidations>
  <pageMargins left="0.74803149606299213" right="0.23622047244094491" top="1.1023622047244095" bottom="0.39370078740157483" header="0.59055118110236227" footer="0.31496062992125984"/>
  <pageSetup paperSize="9" scale="65" firstPageNumber="12" fitToWidth="0" orientation="portrait" r:id="rId3"/>
  <headerFooter alignWithMargins="0">
    <oddHeader xml:space="preserve">&amp;L&amp;"ＭＳ Ｐゴシック,太字"&amp;16&amp;K01+000ⅲ　目的別歳出内訳
（令和４年度）&amp;"ＭＳ Ｐゴシック,標準"&amp;11
</oddHeader>
  </headerFooter>
  <colBreaks count="3" manualBreakCount="3">
    <brk id="9" max="68" man="1"/>
    <brk id="17" max="68" man="1"/>
    <brk id="25" max="68" man="1"/>
  </colBreak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I131"/>
  <sheetViews>
    <sheetView showGridLines="0" view="pageBreakPreview" zoomScaleNormal="70" zoomScaleSheetLayoutView="100" workbookViewId="0">
      <pane xSplit="1" ySplit="4" topLeftCell="B5" activePane="bottomRight" state="frozen"/>
      <selection pane="topRight" activeCell="J20" sqref="J19:J20"/>
      <selection pane="bottomLeft" activeCell="J20" sqref="J19:J20"/>
      <selection pane="bottomRight" activeCell="H18" sqref="H18"/>
    </sheetView>
  </sheetViews>
  <sheetFormatPr defaultRowHeight="13.2"/>
  <cols>
    <col min="1" max="1" width="12.88671875" customWidth="1"/>
    <col min="2" max="2" width="16.21875" customWidth="1"/>
    <col min="3" max="3" width="7.44140625" customWidth="1"/>
    <col min="4" max="4" width="16.21875" customWidth="1"/>
    <col min="5" max="5" width="7.44140625" customWidth="1"/>
    <col min="6" max="6" width="16.21875" customWidth="1"/>
    <col min="7" max="7" width="7.44140625" customWidth="1"/>
    <col min="8" max="8" width="15" customWidth="1"/>
    <col min="9" max="9" width="7.44140625" customWidth="1"/>
    <col min="10" max="10" width="15" customWidth="1"/>
    <col min="11" max="11" width="7.44140625" customWidth="1"/>
    <col min="12" max="12" width="16.21875" customWidth="1"/>
    <col min="13" max="13" width="7.44140625" customWidth="1"/>
    <col min="14" max="14" width="10.6640625" customWidth="1"/>
    <col min="15" max="15" width="7.44140625" customWidth="1"/>
    <col min="16" max="16" width="10.6640625" customWidth="1"/>
    <col min="17" max="17" width="7.44140625" customWidth="1"/>
    <col min="18" max="18" width="10.6640625" customWidth="1"/>
    <col min="19" max="19" width="7.44140625" customWidth="1"/>
    <col min="20" max="20" width="10.6640625" customWidth="1"/>
    <col min="21" max="21" width="7.44140625" customWidth="1"/>
    <col min="22" max="22" width="16.21875" customWidth="1"/>
    <col min="23" max="23" width="7.44140625" customWidth="1"/>
    <col min="24" max="24" width="16.21875" customWidth="1"/>
    <col min="25" max="25" width="7.44140625" customWidth="1"/>
    <col min="26" max="26" width="16.21875" customWidth="1"/>
    <col min="27" max="27" width="7.44140625" customWidth="1"/>
    <col min="28" max="28" width="22.21875" customWidth="1"/>
    <col min="29" max="29" width="7.44140625" customWidth="1"/>
  </cols>
  <sheetData>
    <row r="1" spans="1:29" ht="17.25" customHeight="1">
      <c r="A1" s="33" t="s">
        <v>395</v>
      </c>
      <c r="B1" s="2085" t="s">
        <v>655</v>
      </c>
      <c r="C1" s="2085"/>
      <c r="D1" s="2085"/>
      <c r="E1" s="2084"/>
      <c r="F1" s="2137" t="s">
        <v>656</v>
      </c>
      <c r="G1" s="2138"/>
      <c r="H1" s="2082" t="s">
        <v>657</v>
      </c>
      <c r="I1" s="2085"/>
      <c r="J1" s="2085"/>
      <c r="K1" s="2083"/>
      <c r="L1" s="2167" t="s">
        <v>658</v>
      </c>
      <c r="M1" s="2138"/>
      <c r="N1" s="2163" t="s">
        <v>659</v>
      </c>
      <c r="O1" s="2138"/>
      <c r="P1" s="2163" t="s">
        <v>660</v>
      </c>
      <c r="Q1" s="2138"/>
      <c r="R1" s="2163" t="s">
        <v>661</v>
      </c>
      <c r="S1" s="2138"/>
      <c r="T1" s="2163" t="s">
        <v>662</v>
      </c>
      <c r="U1" s="2138"/>
      <c r="V1" s="2163" t="s">
        <v>663</v>
      </c>
      <c r="W1" s="2248"/>
      <c r="X1" s="402"/>
      <c r="Y1" s="402"/>
      <c r="Z1" s="402"/>
      <c r="AA1" s="402"/>
      <c r="AB1" s="2247" t="s">
        <v>664</v>
      </c>
      <c r="AC1" s="2248"/>
    </row>
    <row r="2" spans="1:29" ht="17.25" customHeight="1">
      <c r="A2" s="40"/>
      <c r="B2" s="2253" t="s">
        <v>665</v>
      </c>
      <c r="C2" s="2254"/>
      <c r="D2" s="2115" t="s">
        <v>666</v>
      </c>
      <c r="E2" s="2254"/>
      <c r="F2" s="2251"/>
      <c r="G2" s="2164"/>
      <c r="H2" s="2125" t="s">
        <v>667</v>
      </c>
      <c r="I2" s="2253"/>
      <c r="J2" s="2125" t="s">
        <v>668</v>
      </c>
      <c r="K2" s="2255"/>
      <c r="L2" s="2252"/>
      <c r="M2" s="2164"/>
      <c r="N2" s="2126"/>
      <c r="O2" s="2164"/>
      <c r="P2" s="2126"/>
      <c r="Q2" s="2164"/>
      <c r="R2" s="2126"/>
      <c r="S2" s="2164"/>
      <c r="T2" s="2126"/>
      <c r="U2" s="2164"/>
      <c r="V2" s="2165"/>
      <c r="W2" s="2256"/>
      <c r="X2" s="2257" t="s">
        <v>669</v>
      </c>
      <c r="Y2" s="2257"/>
      <c r="Z2" s="2125" t="s">
        <v>670</v>
      </c>
      <c r="AA2" s="2257"/>
      <c r="AB2" s="2249"/>
      <c r="AC2" s="2250"/>
    </row>
    <row r="3" spans="1:29" ht="17.25" customHeight="1">
      <c r="A3" s="400"/>
      <c r="B3" s="43"/>
      <c r="C3" s="25" t="s">
        <v>634</v>
      </c>
      <c r="D3" s="9"/>
      <c r="E3" s="25" t="s">
        <v>634</v>
      </c>
      <c r="F3" s="4"/>
      <c r="G3" s="25" t="s">
        <v>634</v>
      </c>
      <c r="H3" s="1756"/>
      <c r="I3" s="25" t="s">
        <v>634</v>
      </c>
      <c r="J3" s="10"/>
      <c r="K3" s="26" t="s">
        <v>634</v>
      </c>
      <c r="L3" s="12"/>
      <c r="M3" s="25" t="s">
        <v>634</v>
      </c>
      <c r="N3" s="4"/>
      <c r="O3" s="25" t="s">
        <v>634</v>
      </c>
      <c r="P3" s="4"/>
      <c r="Q3" s="25" t="s">
        <v>634</v>
      </c>
      <c r="R3" s="4"/>
      <c r="S3" s="25" t="s">
        <v>634</v>
      </c>
      <c r="T3" s="1756"/>
      <c r="U3" s="25" t="s">
        <v>634</v>
      </c>
      <c r="V3" s="1756"/>
      <c r="W3" s="26" t="s">
        <v>634</v>
      </c>
      <c r="X3" s="4"/>
      <c r="Y3" s="25" t="s">
        <v>634</v>
      </c>
      <c r="Z3" s="4"/>
      <c r="AA3" s="25" t="s">
        <v>634</v>
      </c>
      <c r="AB3" s="20"/>
      <c r="AC3" s="26" t="s">
        <v>634</v>
      </c>
    </row>
    <row r="4" spans="1:29" ht="17.25" customHeight="1">
      <c r="A4" s="42" t="s">
        <v>419</v>
      </c>
      <c r="B4" s="41" t="s">
        <v>598</v>
      </c>
      <c r="C4" s="38" t="s">
        <v>137</v>
      </c>
      <c r="D4" s="38" t="s">
        <v>598</v>
      </c>
      <c r="E4" s="38" t="s">
        <v>137</v>
      </c>
      <c r="F4" s="38" t="s">
        <v>598</v>
      </c>
      <c r="G4" s="41" t="s">
        <v>137</v>
      </c>
      <c r="H4" s="38" t="s">
        <v>598</v>
      </c>
      <c r="I4" s="41" t="s">
        <v>137</v>
      </c>
      <c r="J4" s="38" t="s">
        <v>598</v>
      </c>
      <c r="K4" s="39" t="s">
        <v>137</v>
      </c>
      <c r="L4" s="44" t="s">
        <v>598</v>
      </c>
      <c r="M4" s="38" t="s">
        <v>137</v>
      </c>
      <c r="N4" s="38" t="s">
        <v>598</v>
      </c>
      <c r="O4" s="38" t="s">
        <v>137</v>
      </c>
      <c r="P4" s="38" t="s">
        <v>598</v>
      </c>
      <c r="Q4" s="38" t="s">
        <v>137</v>
      </c>
      <c r="R4" s="38" t="s">
        <v>598</v>
      </c>
      <c r="S4" s="38" t="s">
        <v>137</v>
      </c>
      <c r="T4" s="38" t="s">
        <v>598</v>
      </c>
      <c r="U4" s="38" t="s">
        <v>137</v>
      </c>
      <c r="V4" s="38" t="s">
        <v>598</v>
      </c>
      <c r="W4" s="39" t="s">
        <v>137</v>
      </c>
      <c r="X4" s="41" t="s">
        <v>598</v>
      </c>
      <c r="Y4" s="38" t="s">
        <v>137</v>
      </c>
      <c r="Z4" s="38" t="s">
        <v>598</v>
      </c>
      <c r="AA4" s="38" t="s">
        <v>137</v>
      </c>
      <c r="AB4" s="52" t="s">
        <v>598</v>
      </c>
      <c r="AC4" s="39" t="s">
        <v>137</v>
      </c>
    </row>
    <row r="5" spans="1:29" ht="15.75" customHeight="1">
      <c r="A5" s="236" t="s">
        <v>147</v>
      </c>
      <c r="B5" s="144">
        <v>11155629</v>
      </c>
      <c r="C5" s="128">
        <v>34.799999999999997</v>
      </c>
      <c r="D5" s="129">
        <v>2260794</v>
      </c>
      <c r="E5" s="128">
        <v>7.1</v>
      </c>
      <c r="F5" s="129">
        <v>12790957</v>
      </c>
      <c r="G5" s="133">
        <v>39.9</v>
      </c>
      <c r="H5" s="129">
        <v>618937</v>
      </c>
      <c r="I5" s="133">
        <v>1.9</v>
      </c>
      <c r="J5" s="129">
        <v>57482</v>
      </c>
      <c r="K5" s="172">
        <v>0.2</v>
      </c>
      <c r="L5" s="130">
        <v>2460066</v>
      </c>
      <c r="M5" s="1781">
        <v>7.7</v>
      </c>
      <c r="N5" s="143" t="s">
        <v>153</v>
      </c>
      <c r="O5" s="129" t="s">
        <v>153</v>
      </c>
      <c r="P5" s="129" t="s">
        <v>153</v>
      </c>
      <c r="Q5" s="128" t="s">
        <v>153</v>
      </c>
      <c r="R5" s="1781" t="s">
        <v>153</v>
      </c>
      <c r="S5" s="128" t="s">
        <v>153</v>
      </c>
      <c r="T5" s="129" t="s">
        <v>153</v>
      </c>
      <c r="U5" s="128" t="s">
        <v>153</v>
      </c>
      <c r="V5" s="129">
        <v>2688061</v>
      </c>
      <c r="W5" s="1764">
        <v>8.4</v>
      </c>
      <c r="X5" s="144">
        <v>2463181</v>
      </c>
      <c r="Y5" s="128">
        <v>7.7</v>
      </c>
      <c r="Z5" s="129" t="s">
        <v>153</v>
      </c>
      <c r="AA5" s="128" t="s">
        <v>153</v>
      </c>
      <c r="AB5" s="177">
        <v>32031926</v>
      </c>
      <c r="AC5" s="1782">
        <v>100</v>
      </c>
    </row>
    <row r="6" spans="1:29" ht="15.75" customHeight="1">
      <c r="A6" s="320" t="s">
        <v>149</v>
      </c>
      <c r="B6" s="496">
        <v>14814166</v>
      </c>
      <c r="C6" s="497">
        <f>ROUND((B6/$AB$6)*100,1)</f>
        <v>36.6</v>
      </c>
      <c r="D6" s="498">
        <v>2802338</v>
      </c>
      <c r="E6" s="497">
        <f>ROUND((D6/$AB$6)*100,1)</f>
        <v>6.9</v>
      </c>
      <c r="F6" s="498">
        <v>14653504</v>
      </c>
      <c r="G6" s="497">
        <f>ROUND((F6/$AB$6)*100,1)</f>
        <v>36.200000000000003</v>
      </c>
      <c r="H6" s="498">
        <v>781990</v>
      </c>
      <c r="I6" s="497">
        <f>ROUND((H6/$AB$6)*100,1)+0.1</f>
        <v>2</v>
      </c>
      <c r="J6" s="498">
        <v>52278</v>
      </c>
      <c r="K6" s="1757">
        <f>ROUND((J6/$AB$6)*100,1)</f>
        <v>0.1</v>
      </c>
      <c r="L6" s="495">
        <v>3035453</v>
      </c>
      <c r="M6" s="497">
        <f>ROUND((L6/$AB$6)*100,1)</f>
        <v>7.5</v>
      </c>
      <c r="N6" s="498" t="s">
        <v>148</v>
      </c>
      <c r="O6" s="498" t="s">
        <v>148</v>
      </c>
      <c r="P6" s="498" t="s">
        <v>148</v>
      </c>
      <c r="Q6" s="497" t="s">
        <v>148</v>
      </c>
      <c r="R6" s="1783" t="s">
        <v>148</v>
      </c>
      <c r="S6" s="497" t="s">
        <v>148</v>
      </c>
      <c r="T6" s="498" t="s">
        <v>148</v>
      </c>
      <c r="U6" s="497" t="s">
        <v>148</v>
      </c>
      <c r="V6" s="498">
        <v>4341449</v>
      </c>
      <c r="W6" s="1757">
        <f>ROUND((V6/$AB$6)*100,1)</f>
        <v>10.7</v>
      </c>
      <c r="X6" s="496">
        <v>2928465</v>
      </c>
      <c r="Y6" s="497">
        <f>ROUND((X6/$AB$6)*100,1)</f>
        <v>7.2</v>
      </c>
      <c r="Z6" s="498">
        <v>1370671</v>
      </c>
      <c r="AA6" s="497">
        <f>ROUND((Z6/$AB$6)*100,1)</f>
        <v>3.4</v>
      </c>
      <c r="AB6" s="617">
        <f>B6+D6+F6+H6+J6+L6+V6</f>
        <v>40481178</v>
      </c>
      <c r="AC6" s="1757">
        <f>ROUND((AB6/$AB$6)*100,1)</f>
        <v>100</v>
      </c>
    </row>
    <row r="7" spans="1:29" ht="15.75" customHeight="1">
      <c r="A7" s="236" t="s">
        <v>150</v>
      </c>
      <c r="B7" s="240">
        <v>12286165</v>
      </c>
      <c r="C7" s="232">
        <v>35.82</v>
      </c>
      <c r="D7" s="235">
        <v>2737499</v>
      </c>
      <c r="E7" s="232">
        <v>7.98</v>
      </c>
      <c r="F7" s="235">
        <v>16127946</v>
      </c>
      <c r="G7" s="237">
        <v>47</v>
      </c>
      <c r="H7" s="235">
        <v>780209</v>
      </c>
      <c r="I7" s="237">
        <v>2.2999999999999998</v>
      </c>
      <c r="J7" s="235">
        <v>74903</v>
      </c>
      <c r="K7" s="1759">
        <v>0.2</v>
      </c>
      <c r="L7" s="233">
        <v>2254231</v>
      </c>
      <c r="M7" s="232">
        <v>6.57</v>
      </c>
      <c r="N7" s="235" t="s">
        <v>153</v>
      </c>
      <c r="O7" s="235" t="s">
        <v>153</v>
      </c>
      <c r="P7" s="235" t="s">
        <v>153</v>
      </c>
      <c r="Q7" s="232" t="s">
        <v>153</v>
      </c>
      <c r="R7" s="1784" t="s">
        <v>153</v>
      </c>
      <c r="S7" s="232" t="s">
        <v>153</v>
      </c>
      <c r="T7" s="235">
        <v>325</v>
      </c>
      <c r="U7" s="232">
        <v>0</v>
      </c>
      <c r="V7" s="235">
        <v>36958</v>
      </c>
      <c r="W7" s="1759">
        <v>0.1</v>
      </c>
      <c r="X7" s="240" t="s">
        <v>153</v>
      </c>
      <c r="Y7" s="232" t="s">
        <v>153</v>
      </c>
      <c r="Z7" s="235">
        <v>0</v>
      </c>
      <c r="AA7" s="232">
        <v>0</v>
      </c>
      <c r="AB7" s="253">
        <v>34298236</v>
      </c>
      <c r="AC7" s="1785">
        <v>100</v>
      </c>
    </row>
    <row r="8" spans="1:29" ht="15.75" customHeight="1">
      <c r="A8" s="320" t="s">
        <v>152</v>
      </c>
      <c r="B8" s="102">
        <v>10648131</v>
      </c>
      <c r="C8" s="99">
        <v>34.5</v>
      </c>
      <c r="D8" s="101">
        <v>2103410</v>
      </c>
      <c r="E8" s="99">
        <v>6.8</v>
      </c>
      <c r="F8" s="101">
        <v>15416834</v>
      </c>
      <c r="G8" s="99">
        <v>50</v>
      </c>
      <c r="H8" s="101">
        <v>643813</v>
      </c>
      <c r="I8" s="99">
        <v>2.1</v>
      </c>
      <c r="J8" s="101">
        <v>49574</v>
      </c>
      <c r="K8" s="1761">
        <v>0.2</v>
      </c>
      <c r="L8" s="100">
        <v>1984081</v>
      </c>
      <c r="M8" s="99">
        <v>6.4</v>
      </c>
      <c r="N8" s="101" t="s">
        <v>153</v>
      </c>
      <c r="O8" s="99" t="s">
        <v>153</v>
      </c>
      <c r="P8" s="101" t="s">
        <v>153</v>
      </c>
      <c r="Q8" s="99" t="s">
        <v>153</v>
      </c>
      <c r="R8" s="101" t="s">
        <v>153</v>
      </c>
      <c r="S8" s="99" t="s">
        <v>153</v>
      </c>
      <c r="T8" s="101">
        <v>6158</v>
      </c>
      <c r="U8" s="99">
        <v>0</v>
      </c>
      <c r="V8" s="101" t="s">
        <v>153</v>
      </c>
      <c r="W8" s="1761" t="s">
        <v>153</v>
      </c>
      <c r="X8" s="102" t="s">
        <v>153</v>
      </c>
      <c r="Y8" s="99" t="s">
        <v>153</v>
      </c>
      <c r="Z8" s="101" t="s">
        <v>153</v>
      </c>
      <c r="AA8" s="1786" t="s">
        <v>153</v>
      </c>
      <c r="AB8" s="107">
        <v>30852001</v>
      </c>
      <c r="AC8" s="1787">
        <v>100</v>
      </c>
    </row>
    <row r="9" spans="1:29" ht="15.75" customHeight="1">
      <c r="A9" s="236" t="s">
        <v>154</v>
      </c>
      <c r="B9" s="240">
        <v>16461530</v>
      </c>
      <c r="C9" s="232">
        <v>38.700000000000003</v>
      </c>
      <c r="D9" s="235">
        <v>3440289</v>
      </c>
      <c r="E9" s="232">
        <v>8.1</v>
      </c>
      <c r="F9" s="235">
        <v>17574872</v>
      </c>
      <c r="G9" s="237">
        <v>41.3</v>
      </c>
      <c r="H9" s="235">
        <v>703905</v>
      </c>
      <c r="I9" s="237">
        <v>1.7</v>
      </c>
      <c r="J9" s="235">
        <v>60768</v>
      </c>
      <c r="K9" s="1759">
        <v>0.1</v>
      </c>
      <c r="L9" s="233">
        <v>2051976</v>
      </c>
      <c r="M9" s="232">
        <v>4.8</v>
      </c>
      <c r="N9" s="235" t="s">
        <v>153</v>
      </c>
      <c r="O9" s="232" t="s">
        <v>153</v>
      </c>
      <c r="P9" s="235" t="s">
        <v>153</v>
      </c>
      <c r="Q9" s="232" t="s">
        <v>153</v>
      </c>
      <c r="R9" s="1784" t="s">
        <v>153</v>
      </c>
      <c r="S9" s="232" t="s">
        <v>153</v>
      </c>
      <c r="T9" s="235" t="s">
        <v>153</v>
      </c>
      <c r="U9" s="232" t="s">
        <v>153</v>
      </c>
      <c r="V9" s="235">
        <v>2236451</v>
      </c>
      <c r="W9" s="1759">
        <v>5.3</v>
      </c>
      <c r="X9" s="240">
        <v>2190192</v>
      </c>
      <c r="Y9" s="232">
        <v>5.2</v>
      </c>
      <c r="Z9" s="235" t="s">
        <v>153</v>
      </c>
      <c r="AA9" s="1784" t="s">
        <v>153</v>
      </c>
      <c r="AB9" s="253">
        <v>42529791</v>
      </c>
      <c r="AC9" s="1785">
        <v>100</v>
      </c>
    </row>
    <row r="10" spans="1:29" ht="15.75" customHeight="1">
      <c r="A10" s="320" t="s">
        <v>155</v>
      </c>
      <c r="B10" s="102">
        <v>15548390</v>
      </c>
      <c r="C10" s="99">
        <v>35.9</v>
      </c>
      <c r="D10" s="101">
        <v>3660198</v>
      </c>
      <c r="E10" s="99">
        <v>8.4</v>
      </c>
      <c r="F10" s="101">
        <v>19413018</v>
      </c>
      <c r="G10" s="108">
        <v>44.9</v>
      </c>
      <c r="H10" s="101">
        <v>823346</v>
      </c>
      <c r="I10" s="108">
        <v>1.9470000000000001</v>
      </c>
      <c r="J10" s="101">
        <v>84977</v>
      </c>
      <c r="K10" s="1761">
        <v>0.19600000000000001</v>
      </c>
      <c r="L10" s="100">
        <v>2196242</v>
      </c>
      <c r="M10" s="99">
        <v>5.0999999999999996</v>
      </c>
      <c r="N10" s="101" t="s">
        <v>148</v>
      </c>
      <c r="O10" s="219" t="s">
        <v>148</v>
      </c>
      <c r="P10" s="101" t="s">
        <v>148</v>
      </c>
      <c r="Q10" s="99" t="s">
        <v>148</v>
      </c>
      <c r="R10" s="1788" t="s">
        <v>148</v>
      </c>
      <c r="S10" s="219" t="s">
        <v>148</v>
      </c>
      <c r="T10" s="101">
        <v>3321</v>
      </c>
      <c r="U10" s="99">
        <v>0</v>
      </c>
      <c r="V10" s="101">
        <v>1552299</v>
      </c>
      <c r="W10" s="1761">
        <v>3.6</v>
      </c>
      <c r="X10" s="102" t="s">
        <v>148</v>
      </c>
      <c r="Y10" s="219" t="s">
        <v>148</v>
      </c>
      <c r="Z10" s="101">
        <v>1507747</v>
      </c>
      <c r="AA10" s="1786">
        <v>3.5</v>
      </c>
      <c r="AB10" s="107">
        <v>43281791</v>
      </c>
      <c r="AC10" s="1787">
        <v>100</v>
      </c>
    </row>
    <row r="11" spans="1:29" ht="15.75" customHeight="1">
      <c r="A11" s="236" t="s">
        <v>156</v>
      </c>
      <c r="B11" s="240">
        <v>13625107</v>
      </c>
      <c r="C11" s="232">
        <v>37.299999999999997</v>
      </c>
      <c r="D11" s="235">
        <v>2760136</v>
      </c>
      <c r="E11" s="232">
        <v>7.6</v>
      </c>
      <c r="F11" s="235">
        <v>15176440</v>
      </c>
      <c r="G11" s="237">
        <v>41.6</v>
      </c>
      <c r="H11" s="235">
        <v>694517</v>
      </c>
      <c r="I11" s="237">
        <v>1.9</v>
      </c>
      <c r="J11" s="235">
        <v>56639</v>
      </c>
      <c r="K11" s="1759">
        <v>0.2</v>
      </c>
      <c r="L11" s="233">
        <v>1502334</v>
      </c>
      <c r="M11" s="232">
        <v>4.0999999999999996</v>
      </c>
      <c r="N11" s="235" t="s">
        <v>153</v>
      </c>
      <c r="O11" s="232" t="s">
        <v>153</v>
      </c>
      <c r="P11" s="235" t="s">
        <v>153</v>
      </c>
      <c r="Q11" s="232" t="s">
        <v>153</v>
      </c>
      <c r="R11" s="1784" t="s">
        <v>153</v>
      </c>
      <c r="S11" s="232" t="s">
        <v>153</v>
      </c>
      <c r="T11" s="235" t="s">
        <v>153</v>
      </c>
      <c r="U11" s="232" t="s">
        <v>153</v>
      </c>
      <c r="V11" s="235">
        <v>2689593</v>
      </c>
      <c r="W11" s="1759">
        <v>7.3000000000000007</v>
      </c>
      <c r="X11" s="240">
        <v>2647277</v>
      </c>
      <c r="Y11" s="232">
        <v>7.2</v>
      </c>
      <c r="Z11" s="235" t="s">
        <v>153</v>
      </c>
      <c r="AA11" s="1784" t="s">
        <v>153</v>
      </c>
      <c r="AB11" s="253">
        <v>36504766</v>
      </c>
      <c r="AC11" s="1785">
        <v>99.999999999999986</v>
      </c>
    </row>
    <row r="12" spans="1:29" ht="15.75" customHeight="1">
      <c r="A12" s="320" t="s">
        <v>157</v>
      </c>
      <c r="B12" s="635">
        <v>15268434</v>
      </c>
      <c r="C12" s="634">
        <v>37.799999999999997</v>
      </c>
      <c r="D12" s="564">
        <v>2505024</v>
      </c>
      <c r="E12" s="634">
        <v>6.2</v>
      </c>
      <c r="F12" s="564">
        <v>16786105</v>
      </c>
      <c r="G12" s="638">
        <v>41.55</v>
      </c>
      <c r="H12" s="564">
        <v>833661</v>
      </c>
      <c r="I12" s="638">
        <v>2.06</v>
      </c>
      <c r="J12" s="564">
        <v>64348</v>
      </c>
      <c r="K12" s="1453">
        <v>0.1</v>
      </c>
      <c r="L12" s="563">
        <v>2065817</v>
      </c>
      <c r="M12" s="634">
        <v>5.0999999999999996</v>
      </c>
      <c r="N12" s="564" t="s">
        <v>148</v>
      </c>
      <c r="O12" s="634" t="s">
        <v>148</v>
      </c>
      <c r="P12" s="564" t="s">
        <v>148</v>
      </c>
      <c r="Q12" s="634" t="s">
        <v>148</v>
      </c>
      <c r="R12" s="1471" t="s">
        <v>148</v>
      </c>
      <c r="S12" s="634" t="s">
        <v>148</v>
      </c>
      <c r="T12" s="564" t="s">
        <v>148</v>
      </c>
      <c r="U12" s="634" t="s">
        <v>148</v>
      </c>
      <c r="V12" s="564">
        <v>2872928</v>
      </c>
      <c r="W12" s="1453">
        <v>7.1</v>
      </c>
      <c r="X12" s="635">
        <v>2786710</v>
      </c>
      <c r="Y12" s="634">
        <v>6.9</v>
      </c>
      <c r="Z12" s="564" t="s">
        <v>148</v>
      </c>
      <c r="AA12" s="1471" t="s">
        <v>148</v>
      </c>
      <c r="AB12" s="639">
        <v>40396317</v>
      </c>
      <c r="AC12" s="1511">
        <v>100</v>
      </c>
    </row>
    <row r="13" spans="1:29" ht="15.75" customHeight="1">
      <c r="A13" s="236" t="s">
        <v>158</v>
      </c>
      <c r="B13" s="240">
        <v>17800374</v>
      </c>
      <c r="C13" s="232">
        <v>34.4</v>
      </c>
      <c r="D13" s="235">
        <v>3684998</v>
      </c>
      <c r="E13" s="232">
        <v>7.1</v>
      </c>
      <c r="F13" s="235">
        <v>20557458</v>
      </c>
      <c r="G13" s="237">
        <v>39.700000000000003</v>
      </c>
      <c r="H13" s="235">
        <v>896576</v>
      </c>
      <c r="I13" s="237">
        <v>1.8</v>
      </c>
      <c r="J13" s="235">
        <v>57332</v>
      </c>
      <c r="K13" s="1759">
        <v>0.1</v>
      </c>
      <c r="L13" s="233">
        <v>3008647</v>
      </c>
      <c r="M13" s="232">
        <v>5.8</v>
      </c>
      <c r="N13" s="235">
        <v>0</v>
      </c>
      <c r="O13" s="232" t="s">
        <v>153</v>
      </c>
      <c r="P13" s="235">
        <v>0</v>
      </c>
      <c r="Q13" s="232" t="s">
        <v>153</v>
      </c>
      <c r="R13" s="1789">
        <v>0</v>
      </c>
      <c r="S13" s="232" t="s">
        <v>153</v>
      </c>
      <c r="T13" s="235">
        <v>0</v>
      </c>
      <c r="U13" s="232" t="s">
        <v>153</v>
      </c>
      <c r="V13" s="235">
        <v>5745657</v>
      </c>
      <c r="W13" s="1759">
        <v>11.1</v>
      </c>
      <c r="X13" s="240">
        <v>3665780</v>
      </c>
      <c r="Y13" s="232">
        <v>7.1</v>
      </c>
      <c r="Z13" s="235">
        <v>2029446</v>
      </c>
      <c r="AA13" s="1784">
        <v>3.9</v>
      </c>
      <c r="AB13" s="253">
        <v>51751042</v>
      </c>
      <c r="AC13" s="1785">
        <v>100</v>
      </c>
    </row>
    <row r="14" spans="1:29" ht="15.75" customHeight="1">
      <c r="A14" s="320" t="s">
        <v>160</v>
      </c>
      <c r="B14" s="102">
        <v>16509833</v>
      </c>
      <c r="C14" s="99">
        <v>31.9</v>
      </c>
      <c r="D14" s="101">
        <v>3627826</v>
      </c>
      <c r="E14" s="99">
        <v>7</v>
      </c>
      <c r="F14" s="101">
        <v>21860939</v>
      </c>
      <c r="G14" s="108">
        <v>42.2</v>
      </c>
      <c r="H14" s="101">
        <v>44545</v>
      </c>
      <c r="I14" s="108">
        <v>0.1</v>
      </c>
      <c r="J14" s="101">
        <v>954704</v>
      </c>
      <c r="K14" s="1761">
        <v>1.8</v>
      </c>
      <c r="L14" s="100">
        <v>2952850</v>
      </c>
      <c r="M14" s="99">
        <v>5.7</v>
      </c>
      <c r="N14" s="101" t="s">
        <v>148</v>
      </c>
      <c r="O14" s="99" t="s">
        <v>148</v>
      </c>
      <c r="P14" s="101" t="s">
        <v>148</v>
      </c>
      <c r="Q14" s="99" t="s">
        <v>148</v>
      </c>
      <c r="R14" s="1786" t="s">
        <v>148</v>
      </c>
      <c r="S14" s="99" t="s">
        <v>148</v>
      </c>
      <c r="T14" s="101">
        <v>1</v>
      </c>
      <c r="U14" s="99">
        <v>0</v>
      </c>
      <c r="V14" s="101">
        <v>5848528</v>
      </c>
      <c r="W14" s="1761">
        <v>11.3</v>
      </c>
      <c r="X14" s="102">
        <v>3376587</v>
      </c>
      <c r="Y14" s="99">
        <v>6.5</v>
      </c>
      <c r="Z14" s="101">
        <v>2403555</v>
      </c>
      <c r="AA14" s="1786">
        <v>4.5999999999999996</v>
      </c>
      <c r="AB14" s="107">
        <v>51799226</v>
      </c>
      <c r="AC14" s="1787">
        <v>100</v>
      </c>
    </row>
    <row r="15" spans="1:29" ht="15.75" customHeight="1">
      <c r="A15" s="236" t="s">
        <v>162</v>
      </c>
      <c r="B15" s="321">
        <v>16943195</v>
      </c>
      <c r="C15" s="138">
        <v>40.200000000000003</v>
      </c>
      <c r="D15" s="137">
        <v>4057935</v>
      </c>
      <c r="E15" s="128">
        <v>9.6</v>
      </c>
      <c r="F15" s="129">
        <v>16565260</v>
      </c>
      <c r="G15" s="133">
        <v>39.4</v>
      </c>
      <c r="H15" s="129">
        <v>713274</v>
      </c>
      <c r="I15" s="133">
        <v>1.8</v>
      </c>
      <c r="J15" s="129">
        <v>32004</v>
      </c>
      <c r="K15" s="1764">
        <v>0</v>
      </c>
      <c r="L15" s="132">
        <v>2103439</v>
      </c>
      <c r="M15" s="128">
        <v>5</v>
      </c>
      <c r="N15" s="129">
        <v>0</v>
      </c>
      <c r="O15" s="128">
        <v>0</v>
      </c>
      <c r="P15" s="129">
        <v>0</v>
      </c>
      <c r="Q15" s="128">
        <v>0</v>
      </c>
      <c r="R15" s="1765">
        <v>0</v>
      </c>
      <c r="S15" s="128">
        <v>0</v>
      </c>
      <c r="T15" s="129">
        <v>0</v>
      </c>
      <c r="U15" s="128">
        <v>0</v>
      </c>
      <c r="V15" s="129">
        <v>1674849</v>
      </c>
      <c r="W15" s="1764">
        <v>4</v>
      </c>
      <c r="X15" s="144">
        <v>1674247</v>
      </c>
      <c r="Y15" s="128">
        <v>4</v>
      </c>
      <c r="Z15" s="129">
        <v>0</v>
      </c>
      <c r="AA15" s="1781">
        <v>0</v>
      </c>
      <c r="AB15" s="178">
        <v>42089956</v>
      </c>
      <c r="AC15" s="1782">
        <v>100</v>
      </c>
    </row>
    <row r="16" spans="1:29" ht="15.75" customHeight="1">
      <c r="A16" s="320" t="s">
        <v>164</v>
      </c>
      <c r="B16" s="102">
        <v>34468102</v>
      </c>
      <c r="C16" s="99">
        <v>37</v>
      </c>
      <c r="D16" s="101">
        <v>7712730</v>
      </c>
      <c r="E16" s="99">
        <v>8.3000000000000007</v>
      </c>
      <c r="F16" s="101">
        <v>36698711</v>
      </c>
      <c r="G16" s="108">
        <v>39.4</v>
      </c>
      <c r="H16" s="101">
        <v>1267481</v>
      </c>
      <c r="I16" s="108">
        <v>1.3</v>
      </c>
      <c r="J16" s="101">
        <v>65851</v>
      </c>
      <c r="K16" s="1761">
        <v>0.1</v>
      </c>
      <c r="L16" s="100">
        <v>3928704</v>
      </c>
      <c r="M16" s="99">
        <v>4.2</v>
      </c>
      <c r="N16" s="101" t="s">
        <v>153</v>
      </c>
      <c r="O16" s="219" t="s">
        <v>153</v>
      </c>
      <c r="P16" s="101" t="s">
        <v>153</v>
      </c>
      <c r="Q16" s="99" t="s">
        <v>153</v>
      </c>
      <c r="R16" s="1788" t="s">
        <v>153</v>
      </c>
      <c r="S16" s="219" t="s">
        <v>153</v>
      </c>
      <c r="T16" s="101">
        <v>15</v>
      </c>
      <c r="U16" s="99">
        <v>0</v>
      </c>
      <c r="V16" s="101">
        <v>9034226</v>
      </c>
      <c r="W16" s="1761">
        <v>9.6999999999999993</v>
      </c>
      <c r="X16" s="102">
        <v>5443694</v>
      </c>
      <c r="Y16" s="219">
        <v>5.8999999999999995</v>
      </c>
      <c r="Z16" s="101">
        <v>3562773</v>
      </c>
      <c r="AA16" s="99">
        <v>3.8</v>
      </c>
      <c r="AB16" s="107">
        <v>93175820</v>
      </c>
      <c r="AC16" s="1787">
        <v>100</v>
      </c>
    </row>
    <row r="17" spans="1:29" ht="15.75" customHeight="1">
      <c r="A17" s="236" t="s">
        <v>166</v>
      </c>
      <c r="B17" s="649">
        <v>19827347</v>
      </c>
      <c r="C17" s="648">
        <v>36.5</v>
      </c>
      <c r="D17" s="647">
        <v>4091287</v>
      </c>
      <c r="E17" s="648">
        <v>7.5</v>
      </c>
      <c r="F17" s="647">
        <v>22547526</v>
      </c>
      <c r="G17" s="658">
        <v>41.5</v>
      </c>
      <c r="H17" s="647">
        <v>1004607</v>
      </c>
      <c r="I17" s="658">
        <v>1.9</v>
      </c>
      <c r="J17" s="647">
        <v>67553</v>
      </c>
      <c r="K17" s="1443">
        <v>0.1</v>
      </c>
      <c r="L17" s="586">
        <v>2346798</v>
      </c>
      <c r="M17" s="648">
        <v>4.3</v>
      </c>
      <c r="N17" s="647">
        <v>0</v>
      </c>
      <c r="O17" s="648">
        <v>0</v>
      </c>
      <c r="P17" s="647">
        <v>0</v>
      </c>
      <c r="Q17" s="648">
        <v>0</v>
      </c>
      <c r="R17" s="647">
        <v>0</v>
      </c>
      <c r="S17" s="648">
        <v>0</v>
      </c>
      <c r="T17" s="647">
        <v>0</v>
      </c>
      <c r="U17" s="648">
        <v>0</v>
      </c>
      <c r="V17" s="647">
        <v>4425722</v>
      </c>
      <c r="W17" s="1443">
        <v>8.1999999999999993</v>
      </c>
      <c r="X17" s="649">
        <v>2156864</v>
      </c>
      <c r="Y17" s="648">
        <v>4</v>
      </c>
      <c r="Z17" s="647">
        <v>2215307</v>
      </c>
      <c r="AA17" s="648">
        <v>4.0999999999999996</v>
      </c>
      <c r="AB17" s="659">
        <v>54310840</v>
      </c>
      <c r="AC17" s="1443">
        <v>100</v>
      </c>
    </row>
    <row r="18" spans="1:29" ht="15.75" customHeight="1">
      <c r="A18" s="320" t="s">
        <v>167</v>
      </c>
      <c r="B18" s="78">
        <v>22557876</v>
      </c>
      <c r="C18" s="72">
        <v>35.1</v>
      </c>
      <c r="D18" s="77">
        <v>6063929</v>
      </c>
      <c r="E18" s="72">
        <v>9.4</v>
      </c>
      <c r="F18" s="77">
        <v>26256693</v>
      </c>
      <c r="G18" s="125">
        <v>40.799999999999997</v>
      </c>
      <c r="H18" s="77">
        <v>1067946</v>
      </c>
      <c r="I18" s="125">
        <v>1.7</v>
      </c>
      <c r="J18" s="77">
        <v>64515</v>
      </c>
      <c r="K18" s="1763">
        <v>0.1</v>
      </c>
      <c r="L18" s="73">
        <v>2547585</v>
      </c>
      <c r="M18" s="72">
        <v>4</v>
      </c>
      <c r="N18" s="77" t="s">
        <v>153</v>
      </c>
      <c r="O18" s="77" t="s">
        <v>153</v>
      </c>
      <c r="P18" s="77" t="s">
        <v>153</v>
      </c>
      <c r="Q18" s="72" t="s">
        <v>153</v>
      </c>
      <c r="R18" s="77" t="s">
        <v>153</v>
      </c>
      <c r="S18" s="72" t="s">
        <v>153</v>
      </c>
      <c r="T18" s="77" t="s">
        <v>153</v>
      </c>
      <c r="U18" s="72" t="s">
        <v>153</v>
      </c>
      <c r="V18" s="77">
        <v>5713433</v>
      </c>
      <c r="W18" s="1763">
        <v>8.9</v>
      </c>
      <c r="X18" s="78">
        <v>3076673</v>
      </c>
      <c r="Y18" s="72">
        <v>4.8</v>
      </c>
      <c r="Z18" s="77">
        <v>2606561</v>
      </c>
      <c r="AA18" s="72">
        <v>4.0999999999999996</v>
      </c>
      <c r="AB18" s="191">
        <v>64271977</v>
      </c>
      <c r="AC18" s="1790">
        <v>100</v>
      </c>
    </row>
    <row r="19" spans="1:29" ht="15.75" customHeight="1">
      <c r="A19" s="236" t="s">
        <v>173</v>
      </c>
      <c r="B19" s="240">
        <v>22436123</v>
      </c>
      <c r="C19" s="523">
        <v>38.1</v>
      </c>
      <c r="D19" s="235">
        <v>4070616</v>
      </c>
      <c r="E19" s="523">
        <v>6.9</v>
      </c>
      <c r="F19" s="235">
        <v>23363195</v>
      </c>
      <c r="G19" s="521">
        <v>39.700000000000003</v>
      </c>
      <c r="H19" s="235">
        <v>683039</v>
      </c>
      <c r="I19" s="521">
        <v>1.2</v>
      </c>
      <c r="J19" s="235">
        <v>39507</v>
      </c>
      <c r="K19" s="1432">
        <v>0.1</v>
      </c>
      <c r="L19" s="233">
        <v>2240189</v>
      </c>
      <c r="M19" s="523">
        <v>3.8</v>
      </c>
      <c r="N19" s="235">
        <v>0</v>
      </c>
      <c r="O19" s="523">
        <v>0</v>
      </c>
      <c r="P19" s="235">
        <v>0</v>
      </c>
      <c r="Q19" s="523">
        <v>0</v>
      </c>
      <c r="R19" s="1789">
        <v>0</v>
      </c>
      <c r="S19" s="523">
        <v>0</v>
      </c>
      <c r="T19" s="235">
        <v>0</v>
      </c>
      <c r="U19" s="523">
        <v>0</v>
      </c>
      <c r="V19" s="235">
        <v>6069821</v>
      </c>
      <c r="W19" s="1432">
        <v>10.3</v>
      </c>
      <c r="X19" s="240">
        <v>4258979</v>
      </c>
      <c r="Y19" s="523">
        <v>7.2</v>
      </c>
      <c r="Z19" s="235">
        <v>1810196</v>
      </c>
      <c r="AA19" s="523">
        <v>3.1</v>
      </c>
      <c r="AB19" s="253">
        <v>58902490</v>
      </c>
      <c r="AC19" s="1791">
        <v>100</v>
      </c>
    </row>
    <row r="20" spans="1:29" ht="15.75" customHeight="1">
      <c r="A20" s="320" t="s">
        <v>267</v>
      </c>
      <c r="B20" s="78">
        <v>42076655</v>
      </c>
      <c r="C20" s="72">
        <v>41.6</v>
      </c>
      <c r="D20" s="77">
        <v>4293471</v>
      </c>
      <c r="E20" s="72">
        <v>4.3</v>
      </c>
      <c r="F20" s="77">
        <v>38935732</v>
      </c>
      <c r="G20" s="125">
        <v>38.6</v>
      </c>
      <c r="H20" s="77">
        <v>702872</v>
      </c>
      <c r="I20" s="125">
        <v>0.7</v>
      </c>
      <c r="J20" s="77">
        <v>46557</v>
      </c>
      <c r="K20" s="1763">
        <v>0</v>
      </c>
      <c r="L20" s="73">
        <v>4418848</v>
      </c>
      <c r="M20" s="72">
        <v>4.4000000000000004</v>
      </c>
      <c r="N20" s="77">
        <v>0</v>
      </c>
      <c r="O20" s="72">
        <v>0</v>
      </c>
      <c r="P20" s="77">
        <v>0</v>
      </c>
      <c r="Q20" s="72">
        <v>0</v>
      </c>
      <c r="R20" s="1792">
        <v>0</v>
      </c>
      <c r="S20" s="72">
        <v>0</v>
      </c>
      <c r="T20" s="77">
        <v>0</v>
      </c>
      <c r="U20" s="72">
        <v>0</v>
      </c>
      <c r="V20" s="77">
        <v>10471323</v>
      </c>
      <c r="W20" s="1763">
        <v>10.4</v>
      </c>
      <c r="X20" s="78">
        <v>9069541</v>
      </c>
      <c r="Y20" s="72">
        <v>9</v>
      </c>
      <c r="Z20" s="77">
        <v>1401782</v>
      </c>
      <c r="AA20" s="72">
        <v>1.4</v>
      </c>
      <c r="AB20" s="191">
        <v>100945458</v>
      </c>
      <c r="AC20" s="1790">
        <v>100</v>
      </c>
    </row>
    <row r="21" spans="1:29" ht="15.75" customHeight="1">
      <c r="A21" s="236" t="s">
        <v>178</v>
      </c>
      <c r="B21" s="144">
        <v>22521169</v>
      </c>
      <c r="C21" s="128">
        <v>44.1</v>
      </c>
      <c r="D21" s="129">
        <v>2998371</v>
      </c>
      <c r="E21" s="128">
        <v>5.9</v>
      </c>
      <c r="F21" s="129">
        <v>19230320</v>
      </c>
      <c r="G21" s="133">
        <v>37.700000000000003</v>
      </c>
      <c r="H21" s="129">
        <v>480480</v>
      </c>
      <c r="I21" s="133">
        <v>0.9</v>
      </c>
      <c r="J21" s="129">
        <v>33621</v>
      </c>
      <c r="K21" s="1764">
        <v>0.1</v>
      </c>
      <c r="L21" s="132">
        <v>2498666</v>
      </c>
      <c r="M21" s="128">
        <v>4.9000000000000004</v>
      </c>
      <c r="N21" s="129" t="s">
        <v>148</v>
      </c>
      <c r="O21" s="129" t="s">
        <v>148</v>
      </c>
      <c r="P21" s="129" t="s">
        <v>148</v>
      </c>
      <c r="Q21" s="128" t="s">
        <v>148</v>
      </c>
      <c r="R21" s="1781" t="s">
        <v>148</v>
      </c>
      <c r="S21" s="128" t="s">
        <v>148</v>
      </c>
      <c r="T21" s="129" t="s">
        <v>148</v>
      </c>
      <c r="U21" s="128" t="s">
        <v>148</v>
      </c>
      <c r="V21" s="129">
        <v>3279137</v>
      </c>
      <c r="W21" s="1764">
        <v>6.4</v>
      </c>
      <c r="X21" s="144">
        <v>2482504</v>
      </c>
      <c r="Y21" s="128">
        <v>4.9000000000000004</v>
      </c>
      <c r="Z21" s="129">
        <v>796633</v>
      </c>
      <c r="AA21" s="128">
        <v>1.5</v>
      </c>
      <c r="AB21" s="177">
        <v>51041764</v>
      </c>
      <c r="AC21" s="1782">
        <v>100</v>
      </c>
    </row>
    <row r="22" spans="1:29" ht="15.75" customHeight="1">
      <c r="A22" s="320" t="s">
        <v>179</v>
      </c>
      <c r="B22" s="78">
        <v>46750298</v>
      </c>
      <c r="C22" s="72">
        <v>44.3</v>
      </c>
      <c r="D22" s="77">
        <v>5239940</v>
      </c>
      <c r="E22" s="72">
        <v>5</v>
      </c>
      <c r="F22" s="77">
        <v>38628919</v>
      </c>
      <c r="G22" s="125">
        <v>36.6</v>
      </c>
      <c r="H22" s="77">
        <v>667385</v>
      </c>
      <c r="I22" s="125">
        <v>0.7</v>
      </c>
      <c r="J22" s="77">
        <v>39930</v>
      </c>
      <c r="K22" s="1763">
        <v>0</v>
      </c>
      <c r="L22" s="73">
        <v>3924792</v>
      </c>
      <c r="M22" s="72">
        <v>3.7</v>
      </c>
      <c r="N22" s="77">
        <v>0</v>
      </c>
      <c r="O22" s="72">
        <v>0</v>
      </c>
      <c r="P22" s="77">
        <v>0</v>
      </c>
      <c r="Q22" s="72">
        <v>0</v>
      </c>
      <c r="R22" s="1792">
        <v>0</v>
      </c>
      <c r="S22" s="72">
        <v>0</v>
      </c>
      <c r="T22" s="77">
        <v>0</v>
      </c>
      <c r="U22" s="72">
        <v>0</v>
      </c>
      <c r="V22" s="77">
        <v>10238587</v>
      </c>
      <c r="W22" s="1763">
        <v>9.6999999999999993</v>
      </c>
      <c r="X22" s="78">
        <v>8083545</v>
      </c>
      <c r="Y22" s="72">
        <v>7.7</v>
      </c>
      <c r="Z22" s="101">
        <v>2151983</v>
      </c>
      <c r="AA22" s="99">
        <v>2</v>
      </c>
      <c r="AB22" s="107">
        <v>105489851</v>
      </c>
      <c r="AC22" s="1790">
        <v>100</v>
      </c>
    </row>
    <row r="23" spans="1:29" ht="15.75" customHeight="1">
      <c r="A23" s="236" t="s">
        <v>182</v>
      </c>
      <c r="B23" s="144">
        <v>30405523</v>
      </c>
      <c r="C23" s="128">
        <v>42.8</v>
      </c>
      <c r="D23" s="129">
        <v>3964703</v>
      </c>
      <c r="E23" s="128">
        <v>5.6</v>
      </c>
      <c r="F23" s="129">
        <v>26288370</v>
      </c>
      <c r="G23" s="133">
        <v>37</v>
      </c>
      <c r="H23" s="129">
        <v>599449</v>
      </c>
      <c r="I23" s="133">
        <v>0.8</v>
      </c>
      <c r="J23" s="129">
        <v>35448</v>
      </c>
      <c r="K23" s="1764">
        <v>0</v>
      </c>
      <c r="L23" s="132">
        <v>2759373</v>
      </c>
      <c r="M23" s="128">
        <v>3.9</v>
      </c>
      <c r="N23" s="197" t="s">
        <v>148</v>
      </c>
      <c r="O23" s="197" t="s">
        <v>148</v>
      </c>
      <c r="P23" s="197" t="s">
        <v>148</v>
      </c>
      <c r="Q23" s="197" t="s">
        <v>148</v>
      </c>
      <c r="R23" s="197" t="s">
        <v>148</v>
      </c>
      <c r="S23" s="197" t="s">
        <v>148</v>
      </c>
      <c r="T23" s="197" t="s">
        <v>148</v>
      </c>
      <c r="U23" s="197" t="s">
        <v>148</v>
      </c>
      <c r="V23" s="129">
        <v>7021347</v>
      </c>
      <c r="W23" s="1764">
        <v>9.9</v>
      </c>
      <c r="X23" s="144">
        <v>5512062</v>
      </c>
      <c r="Y23" s="128">
        <v>7.8</v>
      </c>
      <c r="Z23" s="129">
        <v>1509285</v>
      </c>
      <c r="AA23" s="128">
        <v>2.1</v>
      </c>
      <c r="AB23" s="177">
        <v>71074213</v>
      </c>
      <c r="AC23" s="1782">
        <v>100</v>
      </c>
    </row>
    <row r="24" spans="1:29" ht="15.75" customHeight="1">
      <c r="A24" s="320" t="s">
        <v>184</v>
      </c>
      <c r="B24" s="102">
        <v>37416358</v>
      </c>
      <c r="C24" s="99">
        <v>40.4</v>
      </c>
      <c r="D24" s="101">
        <v>5077669</v>
      </c>
      <c r="E24" s="99">
        <v>5.4</v>
      </c>
      <c r="F24" s="101">
        <v>36503616</v>
      </c>
      <c r="G24" s="108">
        <v>39.4</v>
      </c>
      <c r="H24" s="77">
        <v>826283</v>
      </c>
      <c r="I24" s="125">
        <v>0.9</v>
      </c>
      <c r="J24" s="77">
        <v>60081</v>
      </c>
      <c r="K24" s="1763">
        <v>0.1</v>
      </c>
      <c r="L24" s="100">
        <v>3532751</v>
      </c>
      <c r="M24" s="99">
        <v>3.8</v>
      </c>
      <c r="N24" s="101" t="s">
        <v>153</v>
      </c>
      <c r="O24" s="101" t="s">
        <v>153</v>
      </c>
      <c r="P24" s="101" t="s">
        <v>153</v>
      </c>
      <c r="Q24" s="99" t="s">
        <v>153</v>
      </c>
      <c r="R24" s="1786" t="s">
        <v>153</v>
      </c>
      <c r="S24" s="99" t="s">
        <v>153</v>
      </c>
      <c r="T24" s="101" t="s">
        <v>153</v>
      </c>
      <c r="U24" s="99" t="s">
        <v>153</v>
      </c>
      <c r="V24" s="101">
        <v>9327435</v>
      </c>
      <c r="W24" s="1761">
        <v>10</v>
      </c>
      <c r="X24" s="102">
        <v>7113792</v>
      </c>
      <c r="Y24" s="99">
        <v>7.6</v>
      </c>
      <c r="Z24" s="101">
        <v>2213643</v>
      </c>
      <c r="AA24" s="99">
        <v>2.4</v>
      </c>
      <c r="AB24" s="107">
        <v>92744193</v>
      </c>
      <c r="AC24" s="1787">
        <v>100</v>
      </c>
    </row>
    <row r="25" spans="1:29" ht="15.75" customHeight="1">
      <c r="A25" s="236" t="s">
        <v>186</v>
      </c>
      <c r="B25" s="144">
        <v>23310348</v>
      </c>
      <c r="C25" s="128">
        <v>39.416573750512846</v>
      </c>
      <c r="D25" s="129">
        <v>2902262</v>
      </c>
      <c r="E25" s="128">
        <v>4.9075725581750609</v>
      </c>
      <c r="F25" s="129">
        <v>23138573</v>
      </c>
      <c r="G25" s="133">
        <v>39.126111250510945</v>
      </c>
      <c r="H25" s="129">
        <v>591566</v>
      </c>
      <c r="I25" s="133">
        <v>1.0003070253303761</v>
      </c>
      <c r="J25" s="129">
        <v>40386</v>
      </c>
      <c r="K25" s="1764">
        <v>6.8290604133761174E-2</v>
      </c>
      <c r="L25" s="132">
        <v>2921218</v>
      </c>
      <c r="M25" s="128">
        <v>4.9396261582334864</v>
      </c>
      <c r="N25" s="129">
        <v>0</v>
      </c>
      <c r="O25" s="942">
        <v>0</v>
      </c>
      <c r="P25" s="197">
        <v>0</v>
      </c>
      <c r="Q25" s="942">
        <v>0</v>
      </c>
      <c r="R25" s="197">
        <v>0</v>
      </c>
      <c r="S25" s="942">
        <v>0</v>
      </c>
      <c r="T25" s="197">
        <v>0</v>
      </c>
      <c r="U25" s="942">
        <v>0</v>
      </c>
      <c r="V25" s="129">
        <v>6234090</v>
      </c>
      <c r="W25" s="1764">
        <v>10.6</v>
      </c>
      <c r="X25" s="144">
        <v>4542411</v>
      </c>
      <c r="Y25" s="128">
        <v>7.6809783443233357</v>
      </c>
      <c r="Z25" s="129">
        <v>1686415</v>
      </c>
      <c r="AA25" s="128">
        <v>2.8516391613489045</v>
      </c>
      <c r="AB25" s="177">
        <v>59138443</v>
      </c>
      <c r="AC25" s="1782">
        <v>100</v>
      </c>
    </row>
    <row r="26" spans="1:29" ht="15.75" customHeight="1">
      <c r="A26" s="320" t="s">
        <v>187</v>
      </c>
      <c r="B26" s="102">
        <v>25264621</v>
      </c>
      <c r="C26" s="99">
        <v>32.9</v>
      </c>
      <c r="D26" s="101">
        <v>7992492</v>
      </c>
      <c r="E26" s="99">
        <v>10.4</v>
      </c>
      <c r="F26" s="101">
        <v>31419468</v>
      </c>
      <c r="G26" s="108">
        <v>41</v>
      </c>
      <c r="H26" s="101">
        <v>1223138</v>
      </c>
      <c r="I26" s="108">
        <v>1.6</v>
      </c>
      <c r="J26" s="101">
        <v>82657</v>
      </c>
      <c r="K26" s="1761">
        <v>0.1</v>
      </c>
      <c r="L26" s="100">
        <v>2835325</v>
      </c>
      <c r="M26" s="99">
        <v>3.7</v>
      </c>
      <c r="N26" s="101" t="s">
        <v>148</v>
      </c>
      <c r="O26" s="101" t="s">
        <v>148</v>
      </c>
      <c r="P26" s="101" t="s">
        <v>148</v>
      </c>
      <c r="Q26" s="99" t="s">
        <v>148</v>
      </c>
      <c r="R26" s="1786" t="s">
        <v>148</v>
      </c>
      <c r="S26" s="99" t="s">
        <v>148</v>
      </c>
      <c r="T26" s="101" t="s">
        <v>148</v>
      </c>
      <c r="U26" s="99" t="s">
        <v>148</v>
      </c>
      <c r="V26" s="101">
        <v>7902686</v>
      </c>
      <c r="W26" s="1761">
        <v>10.3</v>
      </c>
      <c r="X26" s="102">
        <v>4124110</v>
      </c>
      <c r="Y26" s="99">
        <v>5.4</v>
      </c>
      <c r="Z26" s="101">
        <v>3712934</v>
      </c>
      <c r="AA26" s="99">
        <v>4.8</v>
      </c>
      <c r="AB26" s="191">
        <v>76720387</v>
      </c>
      <c r="AC26" s="1787">
        <v>100</v>
      </c>
    </row>
    <row r="27" spans="1:29" ht="15.75" customHeight="1">
      <c r="A27" s="236" t="s">
        <v>269</v>
      </c>
      <c r="B27" s="144">
        <v>29128107</v>
      </c>
      <c r="C27" s="128">
        <v>34.799999999999997</v>
      </c>
      <c r="D27" s="129">
        <v>7674974</v>
      </c>
      <c r="E27" s="128">
        <v>9.1999999999999993</v>
      </c>
      <c r="F27" s="129">
        <v>32306715</v>
      </c>
      <c r="G27" s="133">
        <v>38.6</v>
      </c>
      <c r="H27" s="235">
        <v>1137384</v>
      </c>
      <c r="I27" s="237">
        <v>1.4</v>
      </c>
      <c r="J27" s="235">
        <v>88122</v>
      </c>
      <c r="K27" s="1759">
        <v>0.1</v>
      </c>
      <c r="L27" s="132">
        <v>3212115</v>
      </c>
      <c r="M27" s="128">
        <v>3.8</v>
      </c>
      <c r="N27" s="129">
        <v>0</v>
      </c>
      <c r="O27" s="128">
        <v>0</v>
      </c>
      <c r="P27" s="129">
        <v>0</v>
      </c>
      <c r="Q27" s="128">
        <v>0</v>
      </c>
      <c r="R27" s="1765">
        <v>0</v>
      </c>
      <c r="S27" s="128">
        <v>0</v>
      </c>
      <c r="T27" s="129">
        <v>0</v>
      </c>
      <c r="U27" s="128">
        <v>0</v>
      </c>
      <c r="V27" s="129">
        <v>10096275</v>
      </c>
      <c r="W27" s="1764">
        <v>12.1</v>
      </c>
      <c r="X27" s="144">
        <v>6615436</v>
      </c>
      <c r="Y27" s="128">
        <v>7.9</v>
      </c>
      <c r="Z27" s="129">
        <v>2636336</v>
      </c>
      <c r="AA27" s="128">
        <v>3.2</v>
      </c>
      <c r="AB27" s="177">
        <v>83643692</v>
      </c>
      <c r="AC27" s="1782">
        <v>100</v>
      </c>
    </row>
    <row r="28" spans="1:29" ht="15.75" customHeight="1">
      <c r="A28" s="320" t="s">
        <v>270</v>
      </c>
      <c r="B28" s="78">
        <v>15917945</v>
      </c>
      <c r="C28" s="72">
        <f>B28/$AB$28*100</f>
        <v>35.327346794346241</v>
      </c>
      <c r="D28" s="77">
        <v>3946184</v>
      </c>
      <c r="E28" s="72">
        <f>D28/$AB$28*100</f>
        <v>8.7579276522377985</v>
      </c>
      <c r="F28" s="77">
        <v>19051897</v>
      </c>
      <c r="G28" s="72">
        <f>F28/$AB$28*100</f>
        <v>42.282654727677773</v>
      </c>
      <c r="H28" s="77">
        <v>816350</v>
      </c>
      <c r="I28" s="72">
        <f>ROUNDDOWN(H28/$AB$28*100,1)</f>
        <v>1.8</v>
      </c>
      <c r="J28" s="77">
        <v>56687</v>
      </c>
      <c r="K28" s="1763">
        <f>ROUNDDOWN(J28/$AB$28*100,1)</f>
        <v>0.1</v>
      </c>
      <c r="L28" s="73">
        <v>1955365</v>
      </c>
      <c r="M28" s="72">
        <f>L28/$AB$28*100</f>
        <v>4.3396215695258924</v>
      </c>
      <c r="N28" s="564" t="s">
        <v>153</v>
      </c>
      <c r="O28" s="634" t="s">
        <v>153</v>
      </c>
      <c r="P28" s="564" t="s">
        <v>153</v>
      </c>
      <c r="Q28" s="634" t="s">
        <v>153</v>
      </c>
      <c r="R28" s="1471" t="s">
        <v>153</v>
      </c>
      <c r="S28" s="634" t="s">
        <v>153</v>
      </c>
      <c r="T28" s="564" t="s">
        <v>153</v>
      </c>
      <c r="U28" s="634" t="s">
        <v>153</v>
      </c>
      <c r="V28" s="77">
        <v>3370681</v>
      </c>
      <c r="W28" s="1763">
        <f>V28/$AB$28*100</f>
        <v>7.4806902913732749</v>
      </c>
      <c r="X28" s="78">
        <v>3296444</v>
      </c>
      <c r="Y28" s="72">
        <f>X28/$AB$28*100</f>
        <v>7.3159330790590049</v>
      </c>
      <c r="Z28" s="77" t="s">
        <v>148</v>
      </c>
      <c r="AA28" s="72" t="s">
        <v>148</v>
      </c>
      <c r="AB28" s="191">
        <v>45058422</v>
      </c>
      <c r="AC28" s="1763">
        <f>AB28/$AB$28*100</f>
        <v>100</v>
      </c>
    </row>
    <row r="29" spans="1:29" ht="15.75" customHeight="1">
      <c r="A29" s="236" t="s">
        <v>271</v>
      </c>
      <c r="B29" s="144">
        <v>10963947</v>
      </c>
      <c r="C29" s="128">
        <v>37.299999999999997</v>
      </c>
      <c r="D29" s="129">
        <v>2709310</v>
      </c>
      <c r="E29" s="128">
        <v>9.1999999999999993</v>
      </c>
      <c r="F29" s="129">
        <v>11709201</v>
      </c>
      <c r="G29" s="133">
        <v>39.799999999999997</v>
      </c>
      <c r="H29" s="129">
        <v>594586</v>
      </c>
      <c r="I29" s="133">
        <v>2</v>
      </c>
      <c r="J29" s="129">
        <v>33715</v>
      </c>
      <c r="K29" s="1764">
        <v>0.1</v>
      </c>
      <c r="L29" s="132">
        <v>1387194</v>
      </c>
      <c r="M29" s="128">
        <v>4.7</v>
      </c>
      <c r="N29" s="141" t="s">
        <v>148</v>
      </c>
      <c r="O29" s="141" t="s">
        <v>148</v>
      </c>
      <c r="P29" s="141" t="s">
        <v>148</v>
      </c>
      <c r="Q29" s="141" t="s">
        <v>148</v>
      </c>
      <c r="R29" s="141" t="s">
        <v>148</v>
      </c>
      <c r="S29" s="141" t="s">
        <v>148</v>
      </c>
      <c r="T29" s="141" t="s">
        <v>148</v>
      </c>
      <c r="U29" s="141" t="s">
        <v>148</v>
      </c>
      <c r="V29" s="129">
        <v>2012963</v>
      </c>
      <c r="W29" s="1764">
        <v>6.9</v>
      </c>
      <c r="X29" s="144">
        <v>1976857</v>
      </c>
      <c r="Y29" s="128">
        <v>6.7</v>
      </c>
      <c r="Z29" s="129" t="s">
        <v>148</v>
      </c>
      <c r="AA29" s="128" t="s">
        <v>148</v>
      </c>
      <c r="AB29" s="177">
        <v>29410916</v>
      </c>
      <c r="AC29" s="1782">
        <v>100</v>
      </c>
    </row>
    <row r="30" spans="1:29" ht="15.75" customHeight="1">
      <c r="A30" s="320" t="s">
        <v>193</v>
      </c>
      <c r="B30" s="78">
        <v>21332676</v>
      </c>
      <c r="C30" s="72">
        <v>35.700000000000003</v>
      </c>
      <c r="D30" s="77">
        <v>5719796</v>
      </c>
      <c r="E30" s="72">
        <v>9.6</v>
      </c>
      <c r="F30" s="77">
        <v>22904290</v>
      </c>
      <c r="G30" s="125">
        <v>38.299999999999997</v>
      </c>
      <c r="H30" s="77">
        <v>1326126</v>
      </c>
      <c r="I30" s="125">
        <v>2.2000000000000002</v>
      </c>
      <c r="J30" s="77">
        <v>114756</v>
      </c>
      <c r="K30" s="1763">
        <v>0.1</v>
      </c>
      <c r="L30" s="73">
        <v>2373472</v>
      </c>
      <c r="M30" s="72">
        <v>4</v>
      </c>
      <c r="N30" s="77">
        <v>0</v>
      </c>
      <c r="O30" s="72">
        <v>0</v>
      </c>
      <c r="P30" s="77">
        <v>0</v>
      </c>
      <c r="Q30" s="72">
        <v>0</v>
      </c>
      <c r="R30" s="1792">
        <v>0</v>
      </c>
      <c r="S30" s="72">
        <v>0</v>
      </c>
      <c r="T30" s="77">
        <v>0</v>
      </c>
      <c r="U30" s="72">
        <v>0</v>
      </c>
      <c r="V30" s="77">
        <v>6080002</v>
      </c>
      <c r="W30" s="1763">
        <v>10.199999999999999</v>
      </c>
      <c r="X30" s="78">
        <v>3839312</v>
      </c>
      <c r="Y30" s="72">
        <v>6.4</v>
      </c>
      <c r="Z30" s="77">
        <v>2204478</v>
      </c>
      <c r="AA30" s="72">
        <v>3.7</v>
      </c>
      <c r="AB30" s="191">
        <v>59736362</v>
      </c>
      <c r="AC30" s="1790">
        <v>100</v>
      </c>
    </row>
    <row r="31" spans="1:29" ht="15.75" customHeight="1">
      <c r="A31" s="236" t="s">
        <v>272</v>
      </c>
      <c r="B31" s="240">
        <v>14120306</v>
      </c>
      <c r="C31" s="232">
        <v>37.6</v>
      </c>
      <c r="D31" s="235">
        <v>3389689</v>
      </c>
      <c r="E31" s="232">
        <v>9</v>
      </c>
      <c r="F31" s="235">
        <v>15787777</v>
      </c>
      <c r="G31" s="237">
        <v>42.1</v>
      </c>
      <c r="H31" s="235">
        <v>57991</v>
      </c>
      <c r="I31" s="237">
        <v>0.15</v>
      </c>
      <c r="J31" s="235">
        <v>767524</v>
      </c>
      <c r="K31" s="1759">
        <v>2</v>
      </c>
      <c r="L31" s="233">
        <v>1614364</v>
      </c>
      <c r="M31" s="232">
        <v>4.3</v>
      </c>
      <c r="N31" s="235" t="s">
        <v>148</v>
      </c>
      <c r="O31" s="235" t="s">
        <v>148</v>
      </c>
      <c r="P31" s="235" t="s">
        <v>148</v>
      </c>
      <c r="Q31" s="232" t="s">
        <v>148</v>
      </c>
      <c r="R31" s="1784" t="s">
        <v>148</v>
      </c>
      <c r="S31" s="232" t="s">
        <v>148</v>
      </c>
      <c r="T31" s="235" t="s">
        <v>148</v>
      </c>
      <c r="U31" s="232" t="s">
        <v>148</v>
      </c>
      <c r="V31" s="235">
        <v>1783448</v>
      </c>
      <c r="W31" s="1759">
        <v>4.8</v>
      </c>
      <c r="X31" s="240">
        <v>1693179</v>
      </c>
      <c r="Y31" s="232">
        <v>4.5999999999999996</v>
      </c>
      <c r="Z31" s="235" t="s">
        <v>148</v>
      </c>
      <c r="AA31" s="232" t="s">
        <v>148</v>
      </c>
      <c r="AB31" s="253">
        <v>37521099</v>
      </c>
      <c r="AC31" s="1785">
        <v>100</v>
      </c>
    </row>
    <row r="32" spans="1:29" ht="15.75" customHeight="1">
      <c r="A32" s="320" t="s">
        <v>196</v>
      </c>
      <c r="B32" s="78">
        <v>25570676</v>
      </c>
      <c r="C32" s="72">
        <v>38.299999999999997</v>
      </c>
      <c r="D32" s="77">
        <v>4028805</v>
      </c>
      <c r="E32" s="72">
        <v>6</v>
      </c>
      <c r="F32" s="77">
        <v>26271416</v>
      </c>
      <c r="G32" s="125">
        <v>39.299999999999997</v>
      </c>
      <c r="H32" s="77">
        <v>970777</v>
      </c>
      <c r="I32" s="125">
        <v>1.4</v>
      </c>
      <c r="J32" s="77">
        <v>61338</v>
      </c>
      <c r="K32" s="1763">
        <v>0.1</v>
      </c>
      <c r="L32" s="73">
        <v>2709552</v>
      </c>
      <c r="M32" s="72">
        <v>4.0999999999999996</v>
      </c>
      <c r="N32" s="389" t="s">
        <v>153</v>
      </c>
      <c r="O32" s="389" t="s">
        <v>153</v>
      </c>
      <c r="P32" s="389" t="s">
        <v>153</v>
      </c>
      <c r="Q32" s="389" t="s">
        <v>153</v>
      </c>
      <c r="R32" s="389" t="s">
        <v>153</v>
      </c>
      <c r="S32" s="389" t="s">
        <v>153</v>
      </c>
      <c r="T32" s="389" t="s">
        <v>153</v>
      </c>
      <c r="U32" s="389" t="s">
        <v>153</v>
      </c>
      <c r="V32" s="77">
        <v>7200051</v>
      </c>
      <c r="W32" s="1763">
        <v>10.8</v>
      </c>
      <c r="X32" s="78">
        <v>5589825</v>
      </c>
      <c r="Y32" s="72">
        <v>8.4</v>
      </c>
      <c r="Z32" s="77">
        <v>1575625</v>
      </c>
      <c r="AA32" s="72">
        <v>2.4</v>
      </c>
      <c r="AB32" s="191">
        <v>66812615</v>
      </c>
      <c r="AC32" s="1790">
        <v>100</v>
      </c>
    </row>
    <row r="33" spans="1:31" ht="15.75" customHeight="1">
      <c r="A33" s="236" t="s">
        <v>197</v>
      </c>
      <c r="B33" s="240">
        <v>23081551</v>
      </c>
      <c r="C33" s="232">
        <v>35.299999999999997</v>
      </c>
      <c r="D33" s="235">
        <v>3280844</v>
      </c>
      <c r="E33" s="232">
        <v>5</v>
      </c>
      <c r="F33" s="235">
        <v>28536400</v>
      </c>
      <c r="G33" s="237">
        <v>43.7</v>
      </c>
      <c r="H33" s="235">
        <v>1069407</v>
      </c>
      <c r="I33" s="237">
        <v>1.6</v>
      </c>
      <c r="J33" s="235">
        <v>65315</v>
      </c>
      <c r="K33" s="1759">
        <v>0.1</v>
      </c>
      <c r="L33" s="233">
        <v>2545922</v>
      </c>
      <c r="M33" s="232">
        <v>3.9</v>
      </c>
      <c r="N33" s="235" t="s">
        <v>148</v>
      </c>
      <c r="O33" s="235" t="s">
        <v>148</v>
      </c>
      <c r="P33" s="235" t="s">
        <v>148</v>
      </c>
      <c r="Q33" s="232" t="s">
        <v>148</v>
      </c>
      <c r="R33" s="1784" t="s">
        <v>148</v>
      </c>
      <c r="S33" s="232" t="s">
        <v>148</v>
      </c>
      <c r="T33" s="235">
        <v>150</v>
      </c>
      <c r="U33" s="232">
        <v>0</v>
      </c>
      <c r="V33" s="235">
        <v>6741938</v>
      </c>
      <c r="W33" s="1759">
        <v>10.3</v>
      </c>
      <c r="X33" s="240">
        <v>3979738</v>
      </c>
      <c r="Y33" s="232">
        <v>6.1</v>
      </c>
      <c r="Z33" s="235">
        <v>2762200</v>
      </c>
      <c r="AA33" s="232">
        <v>4.2</v>
      </c>
      <c r="AB33" s="253">
        <v>65321527</v>
      </c>
      <c r="AC33" s="1785">
        <v>100</v>
      </c>
    </row>
    <row r="34" spans="1:31" ht="15.75" customHeight="1">
      <c r="A34" s="320" t="s">
        <v>198</v>
      </c>
      <c r="B34" s="78">
        <v>26598016</v>
      </c>
      <c r="C34" s="72">
        <v>37.700000000000003</v>
      </c>
      <c r="D34" s="77">
        <v>3523443</v>
      </c>
      <c r="E34" s="72">
        <v>5</v>
      </c>
      <c r="F34" s="77">
        <v>28785191</v>
      </c>
      <c r="G34" s="125">
        <v>40.700000000000003</v>
      </c>
      <c r="H34" s="77">
        <v>960371</v>
      </c>
      <c r="I34" s="125">
        <v>1.3</v>
      </c>
      <c r="J34" s="77">
        <v>56753</v>
      </c>
      <c r="K34" s="1763">
        <v>0.1</v>
      </c>
      <c r="L34" s="73">
        <v>2371323</v>
      </c>
      <c r="M34" s="72">
        <v>3.4</v>
      </c>
      <c r="N34" s="77" t="s">
        <v>148</v>
      </c>
      <c r="O34" s="77" t="s">
        <v>148</v>
      </c>
      <c r="P34" s="77" t="s">
        <v>148</v>
      </c>
      <c r="Q34" s="72" t="s">
        <v>148</v>
      </c>
      <c r="R34" s="1793" t="s">
        <v>148</v>
      </c>
      <c r="S34" s="72" t="s">
        <v>148</v>
      </c>
      <c r="T34" s="77">
        <v>707</v>
      </c>
      <c r="U34" s="72">
        <v>0</v>
      </c>
      <c r="V34" s="77">
        <v>8339706</v>
      </c>
      <c r="W34" s="1763">
        <v>11.8</v>
      </c>
      <c r="X34" s="78">
        <v>5381821</v>
      </c>
      <c r="Y34" s="72">
        <v>7.6</v>
      </c>
      <c r="Z34" s="77">
        <v>2957410</v>
      </c>
      <c r="AA34" s="72">
        <v>4.2</v>
      </c>
      <c r="AB34" s="191">
        <v>70635510</v>
      </c>
      <c r="AC34" s="1790">
        <v>100</v>
      </c>
    </row>
    <row r="35" spans="1:31" ht="15.75" customHeight="1">
      <c r="A35" s="236" t="s">
        <v>671</v>
      </c>
      <c r="B35" s="240">
        <v>22004601</v>
      </c>
      <c r="C35" s="232">
        <v>42.4</v>
      </c>
      <c r="D35" s="235">
        <v>2188607</v>
      </c>
      <c r="E35" s="232">
        <v>4.2</v>
      </c>
      <c r="F35" s="235">
        <v>20371112</v>
      </c>
      <c r="G35" s="237">
        <v>39.299999999999997</v>
      </c>
      <c r="H35" s="235">
        <v>885804</v>
      </c>
      <c r="I35" s="237">
        <v>1.7</v>
      </c>
      <c r="J35" s="235">
        <v>49264</v>
      </c>
      <c r="K35" s="1759">
        <v>0.1</v>
      </c>
      <c r="L35" s="233">
        <v>2273724</v>
      </c>
      <c r="M35" s="232">
        <v>4.4000000000000004</v>
      </c>
      <c r="N35" s="235" t="s">
        <v>148</v>
      </c>
      <c r="O35" s="235" t="s">
        <v>148</v>
      </c>
      <c r="P35" s="235" t="s">
        <v>148</v>
      </c>
      <c r="Q35" s="232" t="s">
        <v>148</v>
      </c>
      <c r="R35" s="1784" t="s">
        <v>148</v>
      </c>
      <c r="S35" s="232" t="s">
        <v>148</v>
      </c>
      <c r="T35" s="235" t="s">
        <v>148</v>
      </c>
      <c r="U35" s="232" t="s">
        <v>148</v>
      </c>
      <c r="V35" s="235">
        <v>4101890</v>
      </c>
      <c r="W35" s="1759">
        <v>7.9</v>
      </c>
      <c r="X35" s="240">
        <v>2957984</v>
      </c>
      <c r="Y35" s="232">
        <v>5.7</v>
      </c>
      <c r="Z35" s="235">
        <v>1143628</v>
      </c>
      <c r="AA35" s="232">
        <v>2.2000000000000002</v>
      </c>
      <c r="AB35" s="253">
        <v>51875002</v>
      </c>
      <c r="AC35" s="1785">
        <v>100</v>
      </c>
    </row>
    <row r="36" spans="1:31" ht="15.75" customHeight="1">
      <c r="A36" s="320" t="s">
        <v>201</v>
      </c>
      <c r="B36" s="102">
        <v>31486622</v>
      </c>
      <c r="C36" s="99">
        <v>26</v>
      </c>
      <c r="D36" s="101">
        <v>30613517</v>
      </c>
      <c r="E36" s="634">
        <v>25.2</v>
      </c>
      <c r="F36" s="101">
        <v>43274417</v>
      </c>
      <c r="G36" s="108">
        <v>35.700000000000003</v>
      </c>
      <c r="H36" s="101">
        <v>1012726</v>
      </c>
      <c r="I36" s="108">
        <v>0.8</v>
      </c>
      <c r="J36" s="101">
        <v>68254</v>
      </c>
      <c r="K36" s="1761">
        <v>0.1</v>
      </c>
      <c r="L36" s="100">
        <v>2990058</v>
      </c>
      <c r="M36" s="99">
        <v>2.5</v>
      </c>
      <c r="N36" s="101" t="s">
        <v>148</v>
      </c>
      <c r="O36" s="101" t="s">
        <v>148</v>
      </c>
      <c r="P36" s="101" t="s">
        <v>148</v>
      </c>
      <c r="Q36" s="99" t="s">
        <v>148</v>
      </c>
      <c r="R36" s="1786" t="s">
        <v>148</v>
      </c>
      <c r="S36" s="99" t="s">
        <v>148</v>
      </c>
      <c r="T36" s="101">
        <v>645</v>
      </c>
      <c r="U36" s="99">
        <v>0</v>
      </c>
      <c r="V36" s="101">
        <v>11859895</v>
      </c>
      <c r="W36" s="1761">
        <v>9.8000000000000007</v>
      </c>
      <c r="X36" s="102">
        <v>4346579</v>
      </c>
      <c r="Y36" s="99">
        <v>3.6</v>
      </c>
      <c r="Z36" s="101">
        <v>7513019</v>
      </c>
      <c r="AA36" s="99">
        <v>6.2</v>
      </c>
      <c r="AB36" s="107">
        <v>121306134</v>
      </c>
      <c r="AC36" s="1787">
        <v>100</v>
      </c>
    </row>
    <row r="37" spans="1:31" ht="15.75" customHeight="1">
      <c r="A37" s="236" t="s">
        <v>203</v>
      </c>
      <c r="B37" s="144">
        <v>22568448</v>
      </c>
      <c r="C37" s="128">
        <f>B37*100/$AB37</f>
        <v>42.018286193251051</v>
      </c>
      <c r="D37" s="129">
        <v>3136435</v>
      </c>
      <c r="E37" s="128">
        <f>D37*100/$AB37</f>
        <v>5.8394632832762516</v>
      </c>
      <c r="F37" s="129">
        <v>20004185</v>
      </c>
      <c r="G37" s="128">
        <f>F37*100/$AB37</f>
        <v>37.244101605601756</v>
      </c>
      <c r="H37" s="129">
        <v>712494</v>
      </c>
      <c r="I37" s="128">
        <f>H37*100/$AB37</f>
        <v>1.3265323695707483</v>
      </c>
      <c r="J37" s="129">
        <v>41636</v>
      </c>
      <c r="K37" s="1764">
        <f>J37*100/$AB37</f>
        <v>7.7518549965961359E-2</v>
      </c>
      <c r="L37" s="132">
        <v>1843468</v>
      </c>
      <c r="M37" s="128">
        <f>L37*100/$AB37</f>
        <v>3.432197287651332</v>
      </c>
      <c r="N37" s="129" t="s">
        <v>153</v>
      </c>
      <c r="O37" s="129" t="s">
        <v>153</v>
      </c>
      <c r="P37" s="129" t="s">
        <v>153</v>
      </c>
      <c r="Q37" s="128" t="s">
        <v>153</v>
      </c>
      <c r="R37" s="1765" t="s">
        <v>153</v>
      </c>
      <c r="S37" s="128" t="s">
        <v>153</v>
      </c>
      <c r="T37" s="129" t="s">
        <v>153</v>
      </c>
      <c r="U37" s="128" t="s">
        <v>153</v>
      </c>
      <c r="V37" s="129">
        <v>5404349</v>
      </c>
      <c r="W37" s="1764">
        <f>V37*100/$AB37</f>
        <v>10.061900710682902</v>
      </c>
      <c r="X37" s="144">
        <v>3869669</v>
      </c>
      <c r="Y37" s="128">
        <f>X37*100/$AB37</f>
        <v>7.2046097062213406</v>
      </c>
      <c r="Z37" s="129">
        <v>1469438</v>
      </c>
      <c r="AA37" s="128">
        <f>Z37*100/$AB37</f>
        <v>2.7358224379114788</v>
      </c>
      <c r="AB37" s="177">
        <v>53711015</v>
      </c>
      <c r="AC37" s="1764">
        <f>AB37*100/$AB37</f>
        <v>100</v>
      </c>
    </row>
    <row r="38" spans="1:31" ht="15.75" customHeight="1">
      <c r="A38" s="320" t="s">
        <v>204</v>
      </c>
      <c r="B38" s="102">
        <v>31177861</v>
      </c>
      <c r="C38" s="99">
        <v>43.5</v>
      </c>
      <c r="D38" s="101">
        <v>4069130</v>
      </c>
      <c r="E38" s="99">
        <v>5.7</v>
      </c>
      <c r="F38" s="101">
        <v>25961936</v>
      </c>
      <c r="G38" s="108">
        <v>36.200000000000003</v>
      </c>
      <c r="H38" s="101">
        <v>338886</v>
      </c>
      <c r="I38" s="125">
        <v>0.4727366702769486</v>
      </c>
      <c r="J38" s="101">
        <v>23586</v>
      </c>
      <c r="K38" s="1763">
        <v>3.290182275205264E-2</v>
      </c>
      <c r="L38" s="100">
        <v>3037610</v>
      </c>
      <c r="M38" s="99">
        <v>4.2</v>
      </c>
      <c r="N38" s="77" t="s">
        <v>153</v>
      </c>
      <c r="O38" s="99" t="s">
        <v>153</v>
      </c>
      <c r="P38" s="101">
        <v>0</v>
      </c>
      <c r="Q38" s="99">
        <v>0</v>
      </c>
      <c r="R38" s="77">
        <v>0</v>
      </c>
      <c r="S38" s="72">
        <v>0</v>
      </c>
      <c r="T38" s="77">
        <v>0</v>
      </c>
      <c r="U38" s="72">
        <v>0</v>
      </c>
      <c r="V38" s="101">
        <v>7076989</v>
      </c>
      <c r="W38" s="1761">
        <v>9.9</v>
      </c>
      <c r="X38" s="102">
        <v>6061598</v>
      </c>
      <c r="Y38" s="99">
        <v>8.5</v>
      </c>
      <c r="Z38" s="101">
        <v>1015391</v>
      </c>
      <c r="AA38" s="99">
        <v>1.4</v>
      </c>
      <c r="AB38" s="107">
        <v>71685998</v>
      </c>
      <c r="AC38" s="1787">
        <v>100</v>
      </c>
    </row>
    <row r="39" spans="1:31" ht="15.75" customHeight="1">
      <c r="A39" s="236" t="s">
        <v>205</v>
      </c>
      <c r="B39" s="240">
        <v>30039761</v>
      </c>
      <c r="C39" s="232">
        <v>42.6</v>
      </c>
      <c r="D39" s="235">
        <v>4457653</v>
      </c>
      <c r="E39" s="232">
        <v>6.3</v>
      </c>
      <c r="F39" s="235">
        <v>26820500</v>
      </c>
      <c r="G39" s="237">
        <v>38</v>
      </c>
      <c r="H39" s="235">
        <v>289829</v>
      </c>
      <c r="I39" s="237">
        <v>0.4</v>
      </c>
      <c r="J39" s="235">
        <v>19788</v>
      </c>
      <c r="K39" s="1764">
        <v>0</v>
      </c>
      <c r="L39" s="233">
        <v>1863215</v>
      </c>
      <c r="M39" s="232">
        <v>2.7</v>
      </c>
      <c r="N39" s="141" t="s">
        <v>148</v>
      </c>
      <c r="O39" s="141" t="s">
        <v>148</v>
      </c>
      <c r="P39" s="129">
        <v>0</v>
      </c>
      <c r="Q39" s="128">
        <v>0</v>
      </c>
      <c r="R39" s="129">
        <v>0</v>
      </c>
      <c r="S39" s="128">
        <v>0</v>
      </c>
      <c r="T39" s="141" t="s">
        <v>148</v>
      </c>
      <c r="U39" s="141" t="s">
        <v>148</v>
      </c>
      <c r="V39" s="235">
        <v>7049000</v>
      </c>
      <c r="W39" s="1764">
        <v>10</v>
      </c>
      <c r="X39" s="240">
        <v>5967451</v>
      </c>
      <c r="Y39" s="128">
        <v>8.5</v>
      </c>
      <c r="Z39" s="235">
        <v>1059654</v>
      </c>
      <c r="AA39" s="128">
        <v>1.5</v>
      </c>
      <c r="AB39" s="253">
        <v>70539746</v>
      </c>
      <c r="AC39" s="1782">
        <v>100</v>
      </c>
    </row>
    <row r="40" spans="1:31" ht="15.75" customHeight="1">
      <c r="A40" s="320" t="s">
        <v>208</v>
      </c>
      <c r="B40" s="102">
        <v>21190303</v>
      </c>
      <c r="C40" s="72">
        <v>41.218000000000004</v>
      </c>
      <c r="D40" s="77">
        <v>2759413</v>
      </c>
      <c r="E40" s="72">
        <v>5.367</v>
      </c>
      <c r="F40" s="77">
        <v>19956813</v>
      </c>
      <c r="G40" s="125">
        <v>38.817999999999998</v>
      </c>
      <c r="H40" s="77">
        <v>448554</v>
      </c>
      <c r="I40" s="125">
        <v>0.9</v>
      </c>
      <c r="J40" s="77">
        <v>26582</v>
      </c>
      <c r="K40" s="1763">
        <v>0</v>
      </c>
      <c r="L40" s="100">
        <v>1756607</v>
      </c>
      <c r="M40" s="99">
        <v>3.4169999999999998</v>
      </c>
      <c r="N40" s="101" t="s">
        <v>148</v>
      </c>
      <c r="O40" s="101" t="s">
        <v>148</v>
      </c>
      <c r="P40" s="101" t="s">
        <v>148</v>
      </c>
      <c r="Q40" s="99" t="s">
        <v>148</v>
      </c>
      <c r="R40" s="1786" t="s">
        <v>148</v>
      </c>
      <c r="S40" s="99" t="s">
        <v>148</v>
      </c>
      <c r="T40" s="101" t="s">
        <v>148</v>
      </c>
      <c r="U40" s="99" t="s">
        <v>148</v>
      </c>
      <c r="V40" s="101">
        <v>5272433</v>
      </c>
      <c r="W40" s="1763">
        <v>10.256</v>
      </c>
      <c r="X40" s="78">
        <v>4106381</v>
      </c>
      <c r="Y40" s="72">
        <v>7.9870000000000001</v>
      </c>
      <c r="Z40" s="101">
        <v>1143475</v>
      </c>
      <c r="AA40" s="99">
        <v>2.2240000000000002</v>
      </c>
      <c r="AB40" s="107">
        <v>51410705</v>
      </c>
      <c r="AC40" s="1787">
        <v>100</v>
      </c>
    </row>
    <row r="41" spans="1:31" ht="15.75" customHeight="1">
      <c r="A41" s="236" t="s">
        <v>209</v>
      </c>
      <c r="B41" s="144">
        <v>23051423</v>
      </c>
      <c r="C41" s="128">
        <v>39.799999999999997</v>
      </c>
      <c r="D41" s="129">
        <v>3609864</v>
      </c>
      <c r="E41" s="128">
        <v>6.2</v>
      </c>
      <c r="F41" s="129">
        <v>22298046</v>
      </c>
      <c r="G41" s="133">
        <v>38.5</v>
      </c>
      <c r="H41" s="129">
        <v>591493</v>
      </c>
      <c r="I41" s="133">
        <v>1</v>
      </c>
      <c r="J41" s="129">
        <v>34853</v>
      </c>
      <c r="K41" s="1764">
        <v>0.1</v>
      </c>
      <c r="L41" s="132">
        <v>2095357</v>
      </c>
      <c r="M41" s="128">
        <v>3.6</v>
      </c>
      <c r="N41" s="129">
        <v>0</v>
      </c>
      <c r="O41" s="128">
        <v>0</v>
      </c>
      <c r="P41" s="129">
        <v>0</v>
      </c>
      <c r="Q41" s="128">
        <v>0</v>
      </c>
      <c r="R41" s="129">
        <v>0</v>
      </c>
      <c r="S41" s="1781">
        <v>0</v>
      </c>
      <c r="T41" s="129">
        <v>0</v>
      </c>
      <c r="U41" s="128">
        <v>0</v>
      </c>
      <c r="V41" s="129">
        <v>6231671</v>
      </c>
      <c r="W41" s="1764">
        <v>10.8</v>
      </c>
      <c r="X41" s="144">
        <v>4766126</v>
      </c>
      <c r="Y41" s="128">
        <v>8.1999999999999993</v>
      </c>
      <c r="Z41" s="129">
        <v>1465545</v>
      </c>
      <c r="AA41" s="128">
        <v>2.6</v>
      </c>
      <c r="AB41" s="177">
        <v>57912707</v>
      </c>
      <c r="AC41" s="1782">
        <v>100</v>
      </c>
    </row>
    <row r="42" spans="1:31" ht="15.75" customHeight="1">
      <c r="A42" s="320" t="s">
        <v>273</v>
      </c>
      <c r="B42" s="102">
        <v>14559125</v>
      </c>
      <c r="C42" s="99">
        <v>36.4</v>
      </c>
      <c r="D42" s="101">
        <v>2922042</v>
      </c>
      <c r="E42" s="99">
        <v>7.3</v>
      </c>
      <c r="F42" s="101">
        <v>16688773</v>
      </c>
      <c r="G42" s="108">
        <v>41.7</v>
      </c>
      <c r="H42" s="101">
        <v>398805</v>
      </c>
      <c r="I42" s="108">
        <v>1</v>
      </c>
      <c r="J42" s="101">
        <v>30976</v>
      </c>
      <c r="K42" s="1761">
        <v>0.1</v>
      </c>
      <c r="L42" s="100">
        <v>1959065</v>
      </c>
      <c r="M42" s="99">
        <v>4.9000000000000004</v>
      </c>
      <c r="N42" s="101" t="s">
        <v>148</v>
      </c>
      <c r="O42" s="99" t="s">
        <v>148</v>
      </c>
      <c r="P42" s="101" t="s">
        <v>148</v>
      </c>
      <c r="Q42" s="99" t="s">
        <v>148</v>
      </c>
      <c r="R42" s="1788" t="s">
        <v>148</v>
      </c>
      <c r="S42" s="99" t="s">
        <v>148</v>
      </c>
      <c r="T42" s="101" t="s">
        <v>148</v>
      </c>
      <c r="U42" s="99" t="s">
        <v>148</v>
      </c>
      <c r="V42" s="101">
        <v>3456710</v>
      </c>
      <c r="W42" s="1761">
        <v>8.6</v>
      </c>
      <c r="X42" s="102">
        <v>3453406</v>
      </c>
      <c r="Y42" s="99">
        <v>8.6</v>
      </c>
      <c r="Z42" s="101" t="s">
        <v>148</v>
      </c>
      <c r="AA42" s="99" t="s">
        <v>148</v>
      </c>
      <c r="AB42" s="107">
        <v>40015496</v>
      </c>
      <c r="AC42" s="1787">
        <v>100</v>
      </c>
    </row>
    <row r="43" spans="1:31" ht="15.75" customHeight="1">
      <c r="A43" s="236" t="s">
        <v>274</v>
      </c>
      <c r="B43" s="144">
        <v>11769874</v>
      </c>
      <c r="C43" s="128">
        <v>40</v>
      </c>
      <c r="D43" s="129">
        <v>1530343</v>
      </c>
      <c r="E43" s="128">
        <v>5.2</v>
      </c>
      <c r="F43" s="129">
        <v>11586599</v>
      </c>
      <c r="G43" s="133">
        <v>39.299999999999997</v>
      </c>
      <c r="H43" s="129">
        <v>345214</v>
      </c>
      <c r="I43" s="133">
        <v>1.1000000000000001</v>
      </c>
      <c r="J43" s="129">
        <v>21692</v>
      </c>
      <c r="K43" s="1764">
        <v>0.1</v>
      </c>
      <c r="L43" s="132">
        <v>1664363</v>
      </c>
      <c r="M43" s="128">
        <v>5.6</v>
      </c>
      <c r="N43" s="129" t="s">
        <v>148</v>
      </c>
      <c r="O43" s="128" t="s">
        <v>148</v>
      </c>
      <c r="P43" s="129" t="s">
        <v>148</v>
      </c>
      <c r="Q43" s="128" t="s">
        <v>148</v>
      </c>
      <c r="R43" s="1765" t="s">
        <v>148</v>
      </c>
      <c r="S43" s="128" t="s">
        <v>148</v>
      </c>
      <c r="T43" s="129" t="s">
        <v>148</v>
      </c>
      <c r="U43" s="128" t="s">
        <v>148</v>
      </c>
      <c r="V43" s="129">
        <v>2532020</v>
      </c>
      <c r="W43" s="1764">
        <v>8.6999999999999993</v>
      </c>
      <c r="X43" s="144">
        <v>2520319</v>
      </c>
      <c r="Y43" s="128">
        <v>8.6</v>
      </c>
      <c r="Z43" s="129" t="s">
        <v>148</v>
      </c>
      <c r="AA43" s="128" t="s">
        <v>148</v>
      </c>
      <c r="AB43" s="177">
        <v>29450105</v>
      </c>
      <c r="AC43" s="1782">
        <v>100</v>
      </c>
    </row>
    <row r="44" spans="1:31" ht="15.75" customHeight="1">
      <c r="A44" s="320" t="s">
        <v>215</v>
      </c>
      <c r="B44" s="78">
        <v>25818947</v>
      </c>
      <c r="C44" s="72">
        <v>32.5</v>
      </c>
      <c r="D44" s="77">
        <v>6032558</v>
      </c>
      <c r="E44" s="72">
        <v>7.6</v>
      </c>
      <c r="F44" s="77">
        <v>32985412</v>
      </c>
      <c r="G44" s="125">
        <v>41.5</v>
      </c>
      <c r="H44" s="77">
        <v>685634</v>
      </c>
      <c r="I44" s="125">
        <v>0.9</v>
      </c>
      <c r="J44" s="77">
        <v>51586</v>
      </c>
      <c r="K44" s="1763">
        <v>0</v>
      </c>
      <c r="L44" s="73">
        <v>4637234</v>
      </c>
      <c r="M44" s="72">
        <v>5.8</v>
      </c>
      <c r="N44" s="101" t="s">
        <v>148</v>
      </c>
      <c r="O44" s="99" t="s">
        <v>148</v>
      </c>
      <c r="P44" s="77" t="s">
        <v>148</v>
      </c>
      <c r="Q44" s="72" t="s">
        <v>148</v>
      </c>
      <c r="R44" s="1788" t="s">
        <v>148</v>
      </c>
      <c r="S44" s="99" t="s">
        <v>148</v>
      </c>
      <c r="T44" s="101" t="s">
        <v>148</v>
      </c>
      <c r="U44" s="99" t="s">
        <v>148</v>
      </c>
      <c r="V44" s="77">
        <v>9294863</v>
      </c>
      <c r="W44" s="1763">
        <v>11.7</v>
      </c>
      <c r="X44" s="78">
        <v>6956248</v>
      </c>
      <c r="Y44" s="72">
        <v>8.8000000000000007</v>
      </c>
      <c r="Z44" s="77">
        <v>2337464</v>
      </c>
      <c r="AA44" s="72">
        <v>2.9</v>
      </c>
      <c r="AB44" s="191">
        <v>79506234</v>
      </c>
      <c r="AC44" s="1790">
        <v>100</v>
      </c>
    </row>
    <row r="45" spans="1:31" ht="15.75" customHeight="1">
      <c r="A45" s="236" t="s">
        <v>216</v>
      </c>
      <c r="B45" s="144">
        <v>29942906</v>
      </c>
      <c r="C45" s="128">
        <v>30.2</v>
      </c>
      <c r="D45" s="129">
        <v>7026094</v>
      </c>
      <c r="E45" s="128">
        <v>7.1</v>
      </c>
      <c r="F45" s="129">
        <v>44728766</v>
      </c>
      <c r="G45" s="133">
        <v>45.2</v>
      </c>
      <c r="H45" s="129">
        <v>1372866</v>
      </c>
      <c r="I45" s="133">
        <v>1.4</v>
      </c>
      <c r="J45" s="129">
        <v>71009</v>
      </c>
      <c r="K45" s="1764">
        <v>0.1</v>
      </c>
      <c r="L45" s="132">
        <v>3989526</v>
      </c>
      <c r="M45" s="128">
        <v>4</v>
      </c>
      <c r="N45" s="129" t="s">
        <v>148</v>
      </c>
      <c r="O45" s="129" t="s">
        <v>148</v>
      </c>
      <c r="P45" s="129" t="s">
        <v>148</v>
      </c>
      <c r="Q45" s="128" t="s">
        <v>148</v>
      </c>
      <c r="R45" s="1781" t="s">
        <v>148</v>
      </c>
      <c r="S45" s="128" t="s">
        <v>148</v>
      </c>
      <c r="T45" s="129" t="s">
        <v>148</v>
      </c>
      <c r="U45" s="128" t="s">
        <v>148</v>
      </c>
      <c r="V45" s="129">
        <v>11942361</v>
      </c>
      <c r="W45" s="1764">
        <v>12</v>
      </c>
      <c r="X45" s="144">
        <v>7096153</v>
      </c>
      <c r="Y45" s="128">
        <v>7.2</v>
      </c>
      <c r="Z45" s="129">
        <v>4808913</v>
      </c>
      <c r="AA45" s="128">
        <v>4.8</v>
      </c>
      <c r="AB45" s="177">
        <v>99073528</v>
      </c>
      <c r="AC45" s="1782">
        <v>100</v>
      </c>
    </row>
    <row r="46" spans="1:31" ht="15.75" customHeight="1">
      <c r="A46" s="320" t="s">
        <v>218</v>
      </c>
      <c r="B46" s="78">
        <v>26088741</v>
      </c>
      <c r="C46" s="72">
        <v>31.6</v>
      </c>
      <c r="D46" s="77">
        <v>6165538</v>
      </c>
      <c r="E46" s="72">
        <v>7.5</v>
      </c>
      <c r="F46" s="77">
        <v>35281918</v>
      </c>
      <c r="G46" s="125">
        <v>42.7</v>
      </c>
      <c r="H46" s="77">
        <v>456058</v>
      </c>
      <c r="I46" s="125">
        <v>0.6</v>
      </c>
      <c r="J46" s="77">
        <v>29502</v>
      </c>
      <c r="K46" s="1763">
        <v>0</v>
      </c>
      <c r="L46" s="73">
        <v>3618275</v>
      </c>
      <c r="M46" s="72">
        <v>4.4000000000000004</v>
      </c>
      <c r="N46" s="77">
        <v>0</v>
      </c>
      <c r="O46" s="72">
        <v>0</v>
      </c>
      <c r="P46" s="77">
        <v>0</v>
      </c>
      <c r="Q46" s="72">
        <v>0</v>
      </c>
      <c r="R46" s="1792">
        <v>0</v>
      </c>
      <c r="S46" s="72">
        <v>0</v>
      </c>
      <c r="T46" s="77">
        <v>0</v>
      </c>
      <c r="U46" s="72">
        <v>0</v>
      </c>
      <c r="V46" s="77">
        <v>10957765</v>
      </c>
      <c r="W46" s="1763">
        <v>13.2</v>
      </c>
      <c r="X46" s="78">
        <v>7370130</v>
      </c>
      <c r="Y46" s="72">
        <v>8.9</v>
      </c>
      <c r="Z46" s="77">
        <v>3572228</v>
      </c>
      <c r="AA46" s="72">
        <v>4.3</v>
      </c>
      <c r="AB46" s="191">
        <v>82597797</v>
      </c>
      <c r="AC46" s="1790">
        <v>100</v>
      </c>
    </row>
    <row r="47" spans="1:31" ht="15.75" customHeight="1">
      <c r="A47" s="236" t="s">
        <v>275</v>
      </c>
      <c r="B47" s="144">
        <v>16864352</v>
      </c>
      <c r="C47" s="128">
        <v>37.799999999999997</v>
      </c>
      <c r="D47" s="129">
        <v>3104566</v>
      </c>
      <c r="E47" s="128">
        <v>6.9</v>
      </c>
      <c r="F47" s="129">
        <v>17355504</v>
      </c>
      <c r="G47" s="133">
        <v>38.799999999999997</v>
      </c>
      <c r="H47" s="129">
        <v>495939</v>
      </c>
      <c r="I47" s="670">
        <v>1.1000000000000001</v>
      </c>
      <c r="J47" s="129">
        <v>26227</v>
      </c>
      <c r="K47" s="1794">
        <v>0</v>
      </c>
      <c r="L47" s="132">
        <v>1723595</v>
      </c>
      <c r="M47" s="128">
        <v>3.9</v>
      </c>
      <c r="N47" s="129" t="s">
        <v>153</v>
      </c>
      <c r="O47" s="129" t="s">
        <v>153</v>
      </c>
      <c r="P47" s="129" t="s">
        <v>153</v>
      </c>
      <c r="Q47" s="128" t="s">
        <v>153</v>
      </c>
      <c r="R47" s="1781" t="s">
        <v>153</v>
      </c>
      <c r="S47" s="128" t="s">
        <v>153</v>
      </c>
      <c r="T47" s="129" t="s">
        <v>153</v>
      </c>
      <c r="U47" s="128" t="s">
        <v>153</v>
      </c>
      <c r="V47" s="129">
        <v>5136506</v>
      </c>
      <c r="W47" s="1764">
        <v>11.5</v>
      </c>
      <c r="X47" s="144">
        <v>3528461</v>
      </c>
      <c r="Y47" s="128">
        <v>7.9</v>
      </c>
      <c r="Z47" s="129">
        <v>1607529</v>
      </c>
      <c r="AA47" s="128">
        <v>3.6</v>
      </c>
      <c r="AB47" s="177">
        <v>44706689</v>
      </c>
      <c r="AC47" s="1782">
        <v>100</v>
      </c>
    </row>
    <row r="48" spans="1:31" ht="15.75" customHeight="1">
      <c r="A48" s="320" t="s">
        <v>220</v>
      </c>
      <c r="B48" s="78">
        <v>42095864</v>
      </c>
      <c r="C48" s="72">
        <v>46.2</v>
      </c>
      <c r="D48" s="77">
        <v>3671967</v>
      </c>
      <c r="E48" s="72">
        <v>4</v>
      </c>
      <c r="F48" s="77">
        <v>33363374</v>
      </c>
      <c r="G48" s="125">
        <v>36.6</v>
      </c>
      <c r="H48" s="77">
        <v>385666</v>
      </c>
      <c r="I48" s="125">
        <v>0.5</v>
      </c>
      <c r="J48" s="77">
        <v>25023</v>
      </c>
      <c r="K48" s="1763">
        <v>0</v>
      </c>
      <c r="L48" s="73">
        <v>2295585</v>
      </c>
      <c r="M48" s="72">
        <v>2.5</v>
      </c>
      <c r="N48" s="101" t="s">
        <v>153</v>
      </c>
      <c r="O48" s="99" t="s">
        <v>153</v>
      </c>
      <c r="P48" s="77" t="s">
        <v>153</v>
      </c>
      <c r="Q48" s="72" t="s">
        <v>153</v>
      </c>
      <c r="R48" s="1788" t="s">
        <v>153</v>
      </c>
      <c r="S48" s="99" t="s">
        <v>153</v>
      </c>
      <c r="T48" s="101" t="s">
        <v>153</v>
      </c>
      <c r="U48" s="99" t="s">
        <v>153</v>
      </c>
      <c r="V48" s="77">
        <v>9332307</v>
      </c>
      <c r="W48" s="1763">
        <v>10.199999999999999</v>
      </c>
      <c r="X48" s="78">
        <v>7921698</v>
      </c>
      <c r="Y48" s="72">
        <v>8.6999999999999993</v>
      </c>
      <c r="Z48" s="77">
        <v>1398039</v>
      </c>
      <c r="AA48" s="72">
        <v>1.5</v>
      </c>
      <c r="AB48" s="191">
        <v>91169786</v>
      </c>
      <c r="AC48" s="1790">
        <v>100</v>
      </c>
      <c r="AD48" s="894"/>
      <c r="AE48" s="423"/>
    </row>
    <row r="49" spans="1:29" ht="15.75" customHeight="1">
      <c r="A49" s="236" t="s">
        <v>221</v>
      </c>
      <c r="B49" s="240">
        <v>22383130</v>
      </c>
      <c r="C49" s="232">
        <v>42.7</v>
      </c>
      <c r="D49" s="235">
        <v>2990923</v>
      </c>
      <c r="E49" s="232">
        <v>5.7</v>
      </c>
      <c r="F49" s="235">
        <v>20081488</v>
      </c>
      <c r="G49" s="237">
        <v>38.299999999999997</v>
      </c>
      <c r="H49" s="235">
        <v>678688</v>
      </c>
      <c r="I49" s="237">
        <v>1.3</v>
      </c>
      <c r="J49" s="235">
        <v>35931</v>
      </c>
      <c r="K49" s="1759">
        <v>0.1</v>
      </c>
      <c r="L49" s="233">
        <v>1824734</v>
      </c>
      <c r="M49" s="232">
        <v>3.5</v>
      </c>
      <c r="N49" s="235" t="s">
        <v>148</v>
      </c>
      <c r="O49" s="235" t="s">
        <v>148</v>
      </c>
      <c r="P49" s="235" t="s">
        <v>148</v>
      </c>
      <c r="Q49" s="232" t="s">
        <v>148</v>
      </c>
      <c r="R49" s="1784" t="s">
        <v>148</v>
      </c>
      <c r="S49" s="232" t="s">
        <v>148</v>
      </c>
      <c r="T49" s="235" t="s">
        <v>148</v>
      </c>
      <c r="U49" s="232" t="s">
        <v>148</v>
      </c>
      <c r="V49" s="235">
        <v>4438938</v>
      </c>
      <c r="W49" s="1759">
        <v>8.4</v>
      </c>
      <c r="X49" s="240">
        <v>3383898</v>
      </c>
      <c r="Y49" s="232">
        <v>6.5</v>
      </c>
      <c r="Z49" s="235">
        <v>1022615</v>
      </c>
      <c r="AA49" s="232">
        <v>2</v>
      </c>
      <c r="AB49" s="253">
        <v>52433832</v>
      </c>
      <c r="AC49" s="1785">
        <v>100</v>
      </c>
    </row>
    <row r="50" spans="1:29" ht="15.75" customHeight="1">
      <c r="A50" s="320" t="s">
        <v>223</v>
      </c>
      <c r="B50" s="78">
        <v>18849731</v>
      </c>
      <c r="C50" s="72">
        <v>32</v>
      </c>
      <c r="D50" s="77">
        <v>3975916</v>
      </c>
      <c r="E50" s="72">
        <v>6.7</v>
      </c>
      <c r="F50" s="77">
        <v>25640398</v>
      </c>
      <c r="G50" s="125">
        <v>43.5</v>
      </c>
      <c r="H50" s="77">
        <v>1148567</v>
      </c>
      <c r="I50" s="125">
        <v>2</v>
      </c>
      <c r="J50" s="77">
        <v>63062</v>
      </c>
      <c r="K50" s="1763">
        <v>0.1</v>
      </c>
      <c r="L50" s="73">
        <v>2809411</v>
      </c>
      <c r="M50" s="72">
        <v>4.7</v>
      </c>
      <c r="N50" s="77">
        <v>0</v>
      </c>
      <c r="O50" s="72">
        <v>0</v>
      </c>
      <c r="P50" s="77">
        <v>0</v>
      </c>
      <c r="Q50" s="72">
        <v>0</v>
      </c>
      <c r="R50" s="1792">
        <v>0</v>
      </c>
      <c r="S50" s="72">
        <v>0</v>
      </c>
      <c r="T50" s="77">
        <v>0</v>
      </c>
      <c r="U50" s="72">
        <v>0</v>
      </c>
      <c r="V50" s="77">
        <v>6506537</v>
      </c>
      <c r="W50" s="1763">
        <v>11</v>
      </c>
      <c r="X50" s="78">
        <v>4219520</v>
      </c>
      <c r="Y50" s="72">
        <v>7.2</v>
      </c>
      <c r="Z50" s="77">
        <v>2259962</v>
      </c>
      <c r="AA50" s="72">
        <v>3.8</v>
      </c>
      <c r="AB50" s="191">
        <v>58993622</v>
      </c>
      <c r="AC50" s="1790">
        <v>100</v>
      </c>
    </row>
    <row r="51" spans="1:29" ht="15.75" customHeight="1">
      <c r="A51" s="236" t="s">
        <v>276</v>
      </c>
      <c r="B51" s="240">
        <v>8495516</v>
      </c>
      <c r="C51" s="232">
        <v>35.299999999999997</v>
      </c>
      <c r="D51" s="235">
        <v>1773329</v>
      </c>
      <c r="E51" s="232">
        <v>7.4</v>
      </c>
      <c r="F51" s="235">
        <v>11256968</v>
      </c>
      <c r="G51" s="237">
        <v>46.8</v>
      </c>
      <c r="H51" s="235">
        <v>637541</v>
      </c>
      <c r="I51" s="237">
        <v>2.6</v>
      </c>
      <c r="J51" s="235">
        <v>51188</v>
      </c>
      <c r="K51" s="1759">
        <v>0.3</v>
      </c>
      <c r="L51" s="233">
        <v>1294748</v>
      </c>
      <c r="M51" s="232">
        <v>5.4</v>
      </c>
      <c r="N51" s="235">
        <v>0</v>
      </c>
      <c r="O51" s="232">
        <v>0</v>
      </c>
      <c r="P51" s="235">
        <v>0</v>
      </c>
      <c r="Q51" s="232">
        <v>0</v>
      </c>
      <c r="R51" s="1789">
        <v>0</v>
      </c>
      <c r="S51" s="232">
        <v>0</v>
      </c>
      <c r="T51" s="235">
        <v>0</v>
      </c>
      <c r="U51" s="232">
        <v>0</v>
      </c>
      <c r="V51" s="235">
        <v>560065</v>
      </c>
      <c r="W51" s="1759">
        <v>2.2999999999999998</v>
      </c>
      <c r="X51" s="240">
        <v>541054</v>
      </c>
      <c r="Y51" s="232">
        <v>2.1</v>
      </c>
      <c r="Z51" s="235">
        <v>0</v>
      </c>
      <c r="AA51" s="232">
        <v>0</v>
      </c>
      <c r="AB51" s="253">
        <v>24069355</v>
      </c>
      <c r="AC51" s="1785">
        <v>100</v>
      </c>
    </row>
    <row r="52" spans="1:29" ht="15.75" customHeight="1">
      <c r="A52" s="320" t="s">
        <v>277</v>
      </c>
      <c r="B52" s="102">
        <v>10428413</v>
      </c>
      <c r="C52" s="99">
        <v>36.1</v>
      </c>
      <c r="D52" s="101">
        <v>2390993</v>
      </c>
      <c r="E52" s="99">
        <v>8.3000000000000007</v>
      </c>
      <c r="F52" s="101">
        <v>12894016</v>
      </c>
      <c r="G52" s="108">
        <v>44.6</v>
      </c>
      <c r="H52" s="101">
        <v>665626</v>
      </c>
      <c r="I52" s="108">
        <v>2.2999999999999998</v>
      </c>
      <c r="J52" s="101">
        <v>44050</v>
      </c>
      <c r="K52" s="1761">
        <v>0.2</v>
      </c>
      <c r="L52" s="100">
        <v>1191965</v>
      </c>
      <c r="M52" s="99">
        <v>4.0999999999999996</v>
      </c>
      <c r="N52" s="101" t="s">
        <v>153</v>
      </c>
      <c r="O52" s="101" t="s">
        <v>153</v>
      </c>
      <c r="P52" s="101" t="s">
        <v>153</v>
      </c>
      <c r="Q52" s="99" t="s">
        <v>153</v>
      </c>
      <c r="R52" s="1793" t="s">
        <v>153</v>
      </c>
      <c r="S52" s="99" t="s">
        <v>153</v>
      </c>
      <c r="T52" s="101" t="s">
        <v>153</v>
      </c>
      <c r="U52" s="99" t="s">
        <v>153</v>
      </c>
      <c r="V52" s="101">
        <v>1263988</v>
      </c>
      <c r="W52" s="1761">
        <v>4.4000000000000004</v>
      </c>
      <c r="X52" s="102">
        <v>1174903</v>
      </c>
      <c r="Y52" s="99">
        <v>4.0999999999999996</v>
      </c>
      <c r="Z52" s="101" t="s">
        <v>153</v>
      </c>
      <c r="AA52" s="99" t="s">
        <v>153</v>
      </c>
      <c r="AB52" s="107">
        <v>28879051</v>
      </c>
      <c r="AC52" s="1787">
        <v>100</v>
      </c>
    </row>
    <row r="53" spans="1:29" ht="15.75" customHeight="1">
      <c r="A53" s="236" t="s">
        <v>226</v>
      </c>
      <c r="B53" s="144">
        <v>25165260</v>
      </c>
      <c r="C53" s="128">
        <v>28.7</v>
      </c>
      <c r="D53" s="129">
        <v>6682989</v>
      </c>
      <c r="E53" s="128">
        <v>7.6</v>
      </c>
      <c r="F53" s="129">
        <v>40432333</v>
      </c>
      <c r="G53" s="133">
        <v>46.1</v>
      </c>
      <c r="H53" s="129">
        <v>1634313</v>
      </c>
      <c r="I53" s="133">
        <v>1.9</v>
      </c>
      <c r="J53" s="129">
        <v>66384</v>
      </c>
      <c r="K53" s="1764">
        <v>0.1</v>
      </c>
      <c r="L53" s="132">
        <v>3513539</v>
      </c>
      <c r="M53" s="128">
        <v>4</v>
      </c>
      <c r="N53" s="129">
        <v>0</v>
      </c>
      <c r="O53" s="128">
        <v>0</v>
      </c>
      <c r="P53" s="129">
        <v>0</v>
      </c>
      <c r="Q53" s="128">
        <v>0</v>
      </c>
      <c r="R53" s="1765">
        <v>0</v>
      </c>
      <c r="S53" s="128">
        <v>0</v>
      </c>
      <c r="T53" s="129">
        <v>0</v>
      </c>
      <c r="U53" s="128">
        <v>0</v>
      </c>
      <c r="V53" s="129">
        <v>10143175</v>
      </c>
      <c r="W53" s="1764">
        <v>11.6</v>
      </c>
      <c r="X53" s="144">
        <v>5493290</v>
      </c>
      <c r="Y53" s="128">
        <v>6.3</v>
      </c>
      <c r="Z53" s="129">
        <v>4610238</v>
      </c>
      <c r="AA53" s="128">
        <v>5.3</v>
      </c>
      <c r="AB53" s="177">
        <v>87637993</v>
      </c>
      <c r="AC53" s="1782">
        <v>100</v>
      </c>
    </row>
    <row r="54" spans="1:29" ht="15.75" customHeight="1">
      <c r="A54" s="320" t="s">
        <v>278</v>
      </c>
      <c r="B54" s="102">
        <v>11292528</v>
      </c>
      <c r="C54" s="99">
        <v>36.5</v>
      </c>
      <c r="D54" s="101">
        <v>2902659</v>
      </c>
      <c r="E54" s="99">
        <v>9.4</v>
      </c>
      <c r="F54" s="101">
        <v>12554118</v>
      </c>
      <c r="G54" s="108">
        <v>40.6</v>
      </c>
      <c r="H54" s="101">
        <v>597626</v>
      </c>
      <c r="I54" s="108">
        <v>2</v>
      </c>
      <c r="J54" s="101">
        <v>33535</v>
      </c>
      <c r="K54" s="1761">
        <v>0.1</v>
      </c>
      <c r="L54" s="100">
        <v>1367702</v>
      </c>
      <c r="M54" s="99">
        <v>4.4000000000000004</v>
      </c>
      <c r="N54" s="77" t="s">
        <v>153</v>
      </c>
      <c r="O54" s="72" t="s">
        <v>153</v>
      </c>
      <c r="P54" s="77" t="s">
        <v>153</v>
      </c>
      <c r="Q54" s="72" t="s">
        <v>153</v>
      </c>
      <c r="R54" s="1792" t="s">
        <v>153</v>
      </c>
      <c r="S54" s="72" t="s">
        <v>153</v>
      </c>
      <c r="T54" s="77" t="s">
        <v>153</v>
      </c>
      <c r="U54" s="72" t="s">
        <v>153</v>
      </c>
      <c r="V54" s="101">
        <v>2176076</v>
      </c>
      <c r="W54" s="1761">
        <v>7</v>
      </c>
      <c r="X54" s="102">
        <v>2164910</v>
      </c>
      <c r="Y54" s="99">
        <v>7</v>
      </c>
      <c r="Z54" s="77" t="s">
        <v>153</v>
      </c>
      <c r="AA54" s="72" t="s">
        <v>153</v>
      </c>
      <c r="AB54" s="107">
        <v>30924244</v>
      </c>
      <c r="AC54" s="1787">
        <v>100</v>
      </c>
    </row>
    <row r="55" spans="1:29" ht="15.75" customHeight="1">
      <c r="A55" s="236" t="s">
        <v>228</v>
      </c>
      <c r="B55" s="144">
        <v>24470936</v>
      </c>
      <c r="C55" s="128">
        <v>31.7</v>
      </c>
      <c r="D55" s="129">
        <v>5328488</v>
      </c>
      <c r="E55" s="128">
        <v>6.9</v>
      </c>
      <c r="F55" s="129">
        <v>33460830</v>
      </c>
      <c r="G55" s="133">
        <v>43.3</v>
      </c>
      <c r="H55" s="129">
        <v>1537698</v>
      </c>
      <c r="I55" s="133">
        <v>2</v>
      </c>
      <c r="J55" s="129">
        <v>82223</v>
      </c>
      <c r="K55" s="1764">
        <v>0.1</v>
      </c>
      <c r="L55" s="132">
        <v>3429734</v>
      </c>
      <c r="M55" s="128">
        <v>4.5</v>
      </c>
      <c r="N55" s="129">
        <v>0</v>
      </c>
      <c r="O55" s="232">
        <v>0</v>
      </c>
      <c r="P55" s="235">
        <v>0</v>
      </c>
      <c r="Q55" s="232">
        <v>0</v>
      </c>
      <c r="R55" s="235">
        <v>0</v>
      </c>
      <c r="S55" s="232">
        <v>0</v>
      </c>
      <c r="T55" s="235">
        <v>0</v>
      </c>
      <c r="U55" s="232">
        <v>0</v>
      </c>
      <c r="V55" s="129">
        <v>8896666</v>
      </c>
      <c r="W55" s="1764">
        <v>11.5</v>
      </c>
      <c r="X55" s="144">
        <v>5274913</v>
      </c>
      <c r="Y55" s="128">
        <v>6.8</v>
      </c>
      <c r="Z55" s="129">
        <v>3608527</v>
      </c>
      <c r="AA55" s="128">
        <v>4.7</v>
      </c>
      <c r="AB55" s="177">
        <f>B55+D55+F55+H55+J55+L55+N55+P55+R55+T55+V55</f>
        <v>77206575</v>
      </c>
      <c r="AC55" s="1782">
        <f>C55+E55+G55+I55+K55+M55+O55+Q55+S55+U55+W55</f>
        <v>100</v>
      </c>
    </row>
    <row r="56" spans="1:29" ht="15.75" customHeight="1">
      <c r="A56" s="320" t="s">
        <v>229</v>
      </c>
      <c r="B56" s="503">
        <v>11768497</v>
      </c>
      <c r="C56" s="504">
        <v>35.700000000000003</v>
      </c>
      <c r="D56" s="505">
        <v>2609465</v>
      </c>
      <c r="E56" s="504">
        <v>7.9</v>
      </c>
      <c r="F56" s="505">
        <v>14451313</v>
      </c>
      <c r="G56" s="506">
        <v>43.8</v>
      </c>
      <c r="H56" s="505">
        <v>762621</v>
      </c>
      <c r="I56" s="506">
        <v>2.4</v>
      </c>
      <c r="J56" s="505">
        <v>39875</v>
      </c>
      <c r="K56" s="1771">
        <v>0.1</v>
      </c>
      <c r="L56" s="502">
        <v>1856138</v>
      </c>
      <c r="M56" s="504">
        <v>5.6</v>
      </c>
      <c r="N56" s="505" t="s">
        <v>148</v>
      </c>
      <c r="O56" s="505" t="s">
        <v>148</v>
      </c>
      <c r="P56" s="505" t="s">
        <v>148</v>
      </c>
      <c r="Q56" s="504" t="s">
        <v>148</v>
      </c>
      <c r="R56" s="1795" t="s">
        <v>148</v>
      </c>
      <c r="S56" s="504" t="s">
        <v>148</v>
      </c>
      <c r="T56" s="505" t="s">
        <v>148</v>
      </c>
      <c r="U56" s="504" t="s">
        <v>148</v>
      </c>
      <c r="V56" s="505">
        <v>1482959</v>
      </c>
      <c r="W56" s="1771">
        <v>4.5</v>
      </c>
      <c r="X56" s="683">
        <v>1448053</v>
      </c>
      <c r="Y56" s="684">
        <v>4.4000000000000004</v>
      </c>
      <c r="Z56" s="505" t="s">
        <v>148</v>
      </c>
      <c r="AA56" s="504" t="s">
        <v>148</v>
      </c>
      <c r="AB56" s="685">
        <v>32970868</v>
      </c>
      <c r="AC56" s="1796">
        <v>100</v>
      </c>
    </row>
    <row r="57" spans="1:29" ht="15.75" customHeight="1">
      <c r="A57" s="236" t="s">
        <v>230</v>
      </c>
      <c r="B57" s="144">
        <v>24343935</v>
      </c>
      <c r="C57" s="128">
        <v>37.4</v>
      </c>
      <c r="D57" s="129">
        <v>6968331</v>
      </c>
      <c r="E57" s="128">
        <v>10.7</v>
      </c>
      <c r="F57" s="129">
        <v>27095930</v>
      </c>
      <c r="G57" s="133">
        <v>41.6</v>
      </c>
      <c r="H57" s="129">
        <v>1286676</v>
      </c>
      <c r="I57" s="133">
        <v>2</v>
      </c>
      <c r="J57" s="129">
        <v>58690</v>
      </c>
      <c r="K57" s="1764">
        <v>0.1</v>
      </c>
      <c r="L57" s="132">
        <v>2981363</v>
      </c>
      <c r="M57" s="128">
        <v>4.5999999999999996</v>
      </c>
      <c r="N57" s="129" t="s">
        <v>148</v>
      </c>
      <c r="O57" s="129" t="s">
        <v>148</v>
      </c>
      <c r="P57" s="129">
        <v>0</v>
      </c>
      <c r="Q57" s="128">
        <v>0</v>
      </c>
      <c r="R57" s="1781" t="s">
        <v>148</v>
      </c>
      <c r="S57" s="128" t="s">
        <v>148</v>
      </c>
      <c r="T57" s="129" t="s">
        <v>148</v>
      </c>
      <c r="U57" s="128" t="s">
        <v>148</v>
      </c>
      <c r="V57" s="129">
        <v>2421020</v>
      </c>
      <c r="W57" s="1764">
        <v>3.7</v>
      </c>
      <c r="X57" s="144" t="s">
        <v>148</v>
      </c>
      <c r="Y57" s="128" t="s">
        <v>148</v>
      </c>
      <c r="Z57" s="129">
        <v>2394453</v>
      </c>
      <c r="AA57" s="128">
        <v>3.7</v>
      </c>
      <c r="AB57" s="177">
        <v>65155945</v>
      </c>
      <c r="AC57" s="1782">
        <v>100</v>
      </c>
    </row>
    <row r="58" spans="1:29" ht="15.75" customHeight="1">
      <c r="A58" s="320" t="s">
        <v>231</v>
      </c>
      <c r="B58" s="78">
        <v>25579275</v>
      </c>
      <c r="C58" s="72">
        <v>36.299999999999997</v>
      </c>
      <c r="D58" s="77">
        <v>5923251</v>
      </c>
      <c r="E58" s="72">
        <v>8.4</v>
      </c>
      <c r="F58" s="77">
        <v>31764585</v>
      </c>
      <c r="G58" s="125">
        <v>45.1</v>
      </c>
      <c r="H58" s="77">
        <v>1508568</v>
      </c>
      <c r="I58" s="125">
        <v>2.1</v>
      </c>
      <c r="J58" s="77">
        <v>65899</v>
      </c>
      <c r="K58" s="1763">
        <v>0.1</v>
      </c>
      <c r="L58" s="73">
        <v>3437107</v>
      </c>
      <c r="M58" s="72">
        <v>4.9000000000000004</v>
      </c>
      <c r="N58" s="77">
        <v>0</v>
      </c>
      <c r="O58" s="72">
        <v>0</v>
      </c>
      <c r="P58" s="77">
        <v>0</v>
      </c>
      <c r="Q58" s="72">
        <v>0</v>
      </c>
      <c r="R58" s="1792">
        <v>0</v>
      </c>
      <c r="S58" s="72">
        <v>0</v>
      </c>
      <c r="T58" s="77">
        <v>0</v>
      </c>
      <c r="U58" s="72">
        <v>0</v>
      </c>
      <c r="V58" s="77">
        <v>2155652</v>
      </c>
      <c r="W58" s="1763">
        <v>3.1</v>
      </c>
      <c r="X58" s="78">
        <v>0</v>
      </c>
      <c r="Y58" s="72">
        <v>0</v>
      </c>
      <c r="Z58" s="77">
        <v>2012924</v>
      </c>
      <c r="AA58" s="72">
        <v>2.9</v>
      </c>
      <c r="AB58" s="191">
        <v>70434337</v>
      </c>
      <c r="AC58" s="1790">
        <v>100</v>
      </c>
    </row>
    <row r="59" spans="1:29" ht="15.75" customHeight="1">
      <c r="A59" s="236" t="s">
        <v>232</v>
      </c>
      <c r="B59" s="240">
        <v>17375469</v>
      </c>
      <c r="C59" s="232">
        <v>38</v>
      </c>
      <c r="D59" s="235">
        <v>3586955</v>
      </c>
      <c r="E59" s="232">
        <v>7.8</v>
      </c>
      <c r="F59" s="235">
        <v>19973932</v>
      </c>
      <c r="G59" s="237">
        <v>43.7</v>
      </c>
      <c r="H59" s="235">
        <v>1068756</v>
      </c>
      <c r="I59" s="237">
        <v>2.2999999999999998</v>
      </c>
      <c r="J59" s="235">
        <v>50039</v>
      </c>
      <c r="K59" s="1759">
        <v>0.1</v>
      </c>
      <c r="L59" s="233">
        <v>2527424</v>
      </c>
      <c r="M59" s="232">
        <v>5.5</v>
      </c>
      <c r="N59" s="235">
        <v>0</v>
      </c>
      <c r="O59" s="232">
        <v>0</v>
      </c>
      <c r="P59" s="235">
        <v>0</v>
      </c>
      <c r="Q59" s="232">
        <v>0</v>
      </c>
      <c r="R59" s="1789">
        <v>0</v>
      </c>
      <c r="S59" s="232">
        <v>0</v>
      </c>
      <c r="T59" s="235">
        <v>3843</v>
      </c>
      <c r="U59" s="232">
        <v>0</v>
      </c>
      <c r="V59" s="235">
        <v>1174947</v>
      </c>
      <c r="W59" s="1759">
        <v>2.6</v>
      </c>
      <c r="X59" s="240">
        <v>0</v>
      </c>
      <c r="Y59" s="232">
        <v>0</v>
      </c>
      <c r="Z59" s="235">
        <v>1151120</v>
      </c>
      <c r="AA59" s="232">
        <v>2.5</v>
      </c>
      <c r="AB59" s="253">
        <v>45761365</v>
      </c>
      <c r="AC59" s="1785">
        <v>100</v>
      </c>
    </row>
    <row r="60" spans="1:29" ht="15.75" customHeight="1">
      <c r="A60" s="320" t="s">
        <v>234</v>
      </c>
      <c r="B60" s="102">
        <v>15947542</v>
      </c>
      <c r="C60" s="99">
        <f>B60/AB60*100</f>
        <v>37.280949430076952</v>
      </c>
      <c r="D60" s="101">
        <v>2713978</v>
      </c>
      <c r="E60" s="99">
        <f>D60/AB60*100</f>
        <v>6.3445311241281805</v>
      </c>
      <c r="F60" s="101">
        <v>17121681</v>
      </c>
      <c r="G60" s="108">
        <f>F60/AB60*100</f>
        <v>40.025762184473905</v>
      </c>
      <c r="H60" s="77">
        <v>894463</v>
      </c>
      <c r="I60" s="125">
        <f>H60/AB60*100</f>
        <v>2.0910074963323448</v>
      </c>
      <c r="J60" s="77">
        <v>42507</v>
      </c>
      <c r="K60" s="1763">
        <f>J60/AB60*100</f>
        <v>9.9369628085900691E-2</v>
      </c>
      <c r="L60" s="100">
        <v>2231940</v>
      </c>
      <c r="M60" s="99">
        <f>L60/AB60*100</f>
        <v>5.2176593904544006</v>
      </c>
      <c r="N60" s="101">
        <v>0</v>
      </c>
      <c r="O60" s="99">
        <v>0</v>
      </c>
      <c r="P60" s="101">
        <v>0</v>
      </c>
      <c r="Q60" s="99">
        <v>0</v>
      </c>
      <c r="R60" s="1788">
        <v>0</v>
      </c>
      <c r="S60" s="99">
        <v>0</v>
      </c>
      <c r="T60" s="101">
        <v>0</v>
      </c>
      <c r="U60" s="99">
        <v>0</v>
      </c>
      <c r="V60" s="101">
        <v>3824541</v>
      </c>
      <c r="W60" s="1761">
        <f>V60/AB60*100</f>
        <v>8.9407207464483189</v>
      </c>
      <c r="X60" s="102">
        <v>2612161</v>
      </c>
      <c r="Y60" s="99">
        <f>X60/AB60*100</f>
        <v>6.1065110939491012</v>
      </c>
      <c r="Z60" s="101">
        <v>1210694</v>
      </c>
      <c r="AA60" s="99">
        <f>Z60/AB60*100</f>
        <v>2.8302682500724927</v>
      </c>
      <c r="AB60" s="107">
        <v>42776652</v>
      </c>
      <c r="AC60" s="1787">
        <v>100</v>
      </c>
    </row>
    <row r="61" spans="1:29" ht="15.75" customHeight="1">
      <c r="A61" s="236" t="s">
        <v>236</v>
      </c>
      <c r="B61" s="243">
        <v>19457067</v>
      </c>
      <c r="C61" s="232">
        <v>35.799999999999997</v>
      </c>
      <c r="D61" s="235">
        <v>4390419</v>
      </c>
      <c r="E61" s="232">
        <v>8.08</v>
      </c>
      <c r="F61" s="235">
        <v>21061322</v>
      </c>
      <c r="G61" s="232">
        <v>38.78</v>
      </c>
      <c r="H61" s="235">
        <v>1013901</v>
      </c>
      <c r="I61" s="232">
        <v>1.86</v>
      </c>
      <c r="J61" s="235">
        <v>47259</v>
      </c>
      <c r="K61" s="1759">
        <v>0.08</v>
      </c>
      <c r="L61" s="233">
        <v>2814710</v>
      </c>
      <c r="M61" s="232">
        <v>5.18</v>
      </c>
      <c r="N61" s="240" t="s">
        <v>153</v>
      </c>
      <c r="O61" s="240" t="s">
        <v>153</v>
      </c>
      <c r="P61" s="240" t="s">
        <v>153</v>
      </c>
      <c r="Q61" s="240" t="s">
        <v>153</v>
      </c>
      <c r="R61" s="240" t="s">
        <v>153</v>
      </c>
      <c r="S61" s="240" t="s">
        <v>153</v>
      </c>
      <c r="T61" s="240" t="s">
        <v>153</v>
      </c>
      <c r="U61" s="240" t="s">
        <v>153</v>
      </c>
      <c r="V61" s="1789">
        <v>5517504</v>
      </c>
      <c r="W61" s="1759">
        <v>10.1</v>
      </c>
      <c r="X61" s="240">
        <v>3938511</v>
      </c>
      <c r="Y61" s="232">
        <v>7.25</v>
      </c>
      <c r="Z61" s="235">
        <v>1532435</v>
      </c>
      <c r="AA61" s="258">
        <v>2.82</v>
      </c>
      <c r="AB61" s="695">
        <v>54302182</v>
      </c>
      <c r="AC61" s="1759">
        <v>100</v>
      </c>
    </row>
    <row r="62" spans="1:29" ht="15.75" customHeight="1">
      <c r="A62" s="320" t="s">
        <v>279</v>
      </c>
      <c r="B62" s="102">
        <v>10936217</v>
      </c>
      <c r="C62" s="108">
        <v>36.9</v>
      </c>
      <c r="D62" s="102">
        <v>1841815</v>
      </c>
      <c r="E62" s="108">
        <v>6.2</v>
      </c>
      <c r="F62" s="102">
        <v>12126772</v>
      </c>
      <c r="G62" s="108">
        <v>40.9</v>
      </c>
      <c r="H62" s="101">
        <v>785172</v>
      </c>
      <c r="I62" s="108">
        <v>2.6</v>
      </c>
      <c r="J62" s="102">
        <v>35490</v>
      </c>
      <c r="K62" s="1761">
        <v>0.1</v>
      </c>
      <c r="L62" s="100">
        <v>1981026</v>
      </c>
      <c r="M62" s="108">
        <v>6.7</v>
      </c>
      <c r="N62" s="102" t="s">
        <v>153</v>
      </c>
      <c r="O62" s="102" t="s">
        <v>153</v>
      </c>
      <c r="P62" s="102" t="s">
        <v>153</v>
      </c>
      <c r="Q62" s="102" t="s">
        <v>153</v>
      </c>
      <c r="R62" s="109" t="s">
        <v>153</v>
      </c>
      <c r="S62" s="101" t="s">
        <v>153</v>
      </c>
      <c r="T62" s="101" t="s">
        <v>153</v>
      </c>
      <c r="U62" s="102" t="s">
        <v>153</v>
      </c>
      <c r="V62" s="101">
        <v>1970766</v>
      </c>
      <c r="W62" s="111">
        <v>6.6</v>
      </c>
      <c r="X62" s="102">
        <v>1917801</v>
      </c>
      <c r="Y62" s="108">
        <v>6.5</v>
      </c>
      <c r="Z62" s="102" t="s">
        <v>153</v>
      </c>
      <c r="AA62" s="194" t="s">
        <v>153</v>
      </c>
      <c r="AB62" s="107">
        <v>29677258</v>
      </c>
      <c r="AC62" s="111">
        <v>100</v>
      </c>
    </row>
    <row r="63" spans="1:29" ht="15.75" customHeight="1">
      <c r="A63" s="236" t="s">
        <v>238</v>
      </c>
      <c r="B63" s="145">
        <v>25188315</v>
      </c>
      <c r="C63" s="128">
        <v>31.2</v>
      </c>
      <c r="D63" s="129">
        <v>5808062</v>
      </c>
      <c r="E63" s="128">
        <v>7.2</v>
      </c>
      <c r="F63" s="129">
        <v>36566551</v>
      </c>
      <c r="G63" s="128">
        <v>45.4</v>
      </c>
      <c r="H63" s="129">
        <v>1454685</v>
      </c>
      <c r="I63" s="128">
        <v>1.8</v>
      </c>
      <c r="J63" s="129">
        <v>69401</v>
      </c>
      <c r="K63" s="1764">
        <v>0.1</v>
      </c>
      <c r="L63" s="132">
        <v>3557649</v>
      </c>
      <c r="M63" s="128">
        <v>4.4000000000000004</v>
      </c>
      <c r="N63" s="144" t="s">
        <v>153</v>
      </c>
      <c r="O63" s="129" t="s">
        <v>153</v>
      </c>
      <c r="P63" s="129" t="s">
        <v>153</v>
      </c>
      <c r="Q63" s="128" t="s">
        <v>153</v>
      </c>
      <c r="R63" s="1781" t="s">
        <v>153</v>
      </c>
      <c r="S63" s="128" t="s">
        <v>153</v>
      </c>
      <c r="T63" s="129" t="s">
        <v>153</v>
      </c>
      <c r="U63" s="128" t="s">
        <v>153</v>
      </c>
      <c r="V63" s="1765">
        <v>8017753</v>
      </c>
      <c r="W63" s="1764">
        <v>9.9</v>
      </c>
      <c r="X63" s="144">
        <v>4869464</v>
      </c>
      <c r="Y63" s="128">
        <v>6</v>
      </c>
      <c r="Z63" s="129">
        <v>3122037</v>
      </c>
      <c r="AA63" s="135">
        <v>3.9</v>
      </c>
      <c r="AB63" s="190">
        <v>80662416</v>
      </c>
      <c r="AC63" s="1764">
        <v>100</v>
      </c>
    </row>
    <row r="64" spans="1:29" ht="15.75" customHeight="1">
      <c r="A64" s="320" t="s">
        <v>239</v>
      </c>
      <c r="B64" s="496">
        <v>19628611</v>
      </c>
      <c r="C64" s="500">
        <v>35</v>
      </c>
      <c r="D64" s="496">
        <v>3982946</v>
      </c>
      <c r="E64" s="500">
        <v>7</v>
      </c>
      <c r="F64" s="496">
        <v>23845728</v>
      </c>
      <c r="G64" s="500">
        <v>42.5</v>
      </c>
      <c r="H64" s="498">
        <v>1311525</v>
      </c>
      <c r="I64" s="500">
        <v>2.2999999999999998</v>
      </c>
      <c r="J64" s="496">
        <v>57423</v>
      </c>
      <c r="K64" s="1757">
        <v>0.1</v>
      </c>
      <c r="L64" s="495">
        <v>3018766</v>
      </c>
      <c r="M64" s="500">
        <v>5.4</v>
      </c>
      <c r="N64" s="496" t="s">
        <v>148</v>
      </c>
      <c r="O64" s="496" t="s">
        <v>148</v>
      </c>
      <c r="P64" s="496" t="s">
        <v>148</v>
      </c>
      <c r="Q64" s="496" t="s">
        <v>148</v>
      </c>
      <c r="R64" s="496" t="s">
        <v>148</v>
      </c>
      <c r="S64" s="496" t="s">
        <v>148</v>
      </c>
      <c r="T64" s="496" t="s">
        <v>148</v>
      </c>
      <c r="U64" s="496" t="s">
        <v>148</v>
      </c>
      <c r="V64" s="498">
        <v>4307353</v>
      </c>
      <c r="W64" s="535">
        <v>7.7</v>
      </c>
      <c r="X64" s="496">
        <v>2615361</v>
      </c>
      <c r="Y64" s="500">
        <v>4.7</v>
      </c>
      <c r="Z64" s="496">
        <v>1592746</v>
      </c>
      <c r="AA64" s="499">
        <v>2.8</v>
      </c>
      <c r="AB64" s="617">
        <v>56152352</v>
      </c>
      <c r="AC64" s="535">
        <v>100</v>
      </c>
    </row>
    <row r="65" spans="1:35" ht="15.75" customHeight="1">
      <c r="A65" s="236" t="s">
        <v>241</v>
      </c>
      <c r="B65" s="145">
        <v>30257174</v>
      </c>
      <c r="C65" s="128">
        <v>33.64</v>
      </c>
      <c r="D65" s="129">
        <v>6024210</v>
      </c>
      <c r="E65" s="128">
        <v>6.7</v>
      </c>
      <c r="F65" s="129">
        <v>38392447</v>
      </c>
      <c r="G65" s="128">
        <v>42.69</v>
      </c>
      <c r="H65" s="129">
        <v>1697886</v>
      </c>
      <c r="I65" s="128">
        <v>1.89</v>
      </c>
      <c r="J65" s="144">
        <v>78761</v>
      </c>
      <c r="K65" s="1764">
        <v>0.09</v>
      </c>
      <c r="L65" s="132">
        <v>4088699</v>
      </c>
      <c r="M65" s="133">
        <v>4.5</v>
      </c>
      <c r="N65" s="144">
        <v>0</v>
      </c>
      <c r="O65" s="133">
        <v>0</v>
      </c>
      <c r="P65" s="144">
        <v>0</v>
      </c>
      <c r="Q65" s="133">
        <v>0</v>
      </c>
      <c r="R65" s="145">
        <v>0</v>
      </c>
      <c r="S65" s="128">
        <v>0</v>
      </c>
      <c r="T65" s="129">
        <v>0</v>
      </c>
      <c r="U65" s="133">
        <v>0</v>
      </c>
      <c r="V65" s="129">
        <v>9393032</v>
      </c>
      <c r="W65" s="134">
        <v>10.5</v>
      </c>
      <c r="X65" s="144">
        <v>7298883</v>
      </c>
      <c r="Y65" s="133">
        <v>8.1199999999999992</v>
      </c>
      <c r="Z65" s="144">
        <v>2027518</v>
      </c>
      <c r="AA65" s="135">
        <v>2.25</v>
      </c>
      <c r="AB65" s="177">
        <v>89932209</v>
      </c>
      <c r="AC65" s="134">
        <v>100</v>
      </c>
      <c r="AI65" s="335"/>
    </row>
    <row r="66" spans="1:35" ht="15.75" customHeight="1" thickBot="1">
      <c r="A66" s="320" t="s">
        <v>243</v>
      </c>
      <c r="B66" s="102">
        <v>16949709</v>
      </c>
      <c r="C66" s="99">
        <v>31.4</v>
      </c>
      <c r="D66" s="101">
        <v>3885174</v>
      </c>
      <c r="E66" s="99">
        <v>7.2</v>
      </c>
      <c r="F66" s="101">
        <v>26606162</v>
      </c>
      <c r="G66" s="108">
        <v>49.2</v>
      </c>
      <c r="H66" s="101">
        <v>831268</v>
      </c>
      <c r="I66" s="108">
        <v>1.6</v>
      </c>
      <c r="J66" s="101">
        <v>20896</v>
      </c>
      <c r="K66" s="1761">
        <v>0</v>
      </c>
      <c r="L66" s="100">
        <v>4565671</v>
      </c>
      <c r="M66" s="99">
        <v>8.4</v>
      </c>
      <c r="N66" s="101">
        <v>0</v>
      </c>
      <c r="O66" s="99">
        <v>0</v>
      </c>
      <c r="P66" s="101">
        <v>0</v>
      </c>
      <c r="Q66" s="99">
        <v>0</v>
      </c>
      <c r="R66" s="109">
        <v>0</v>
      </c>
      <c r="S66" s="99">
        <v>0</v>
      </c>
      <c r="T66" s="284">
        <v>0</v>
      </c>
      <c r="U66" s="322">
        <v>0</v>
      </c>
      <c r="V66" s="101">
        <v>1189440</v>
      </c>
      <c r="W66" s="1761">
        <v>2.2000000000000002</v>
      </c>
      <c r="X66" s="102">
        <v>0</v>
      </c>
      <c r="Y66" s="99">
        <v>0</v>
      </c>
      <c r="Z66" s="101">
        <v>1159479</v>
      </c>
      <c r="AA66" s="99">
        <v>2.1</v>
      </c>
      <c r="AB66" s="107">
        <v>54048320</v>
      </c>
      <c r="AC66" s="1787">
        <v>100</v>
      </c>
    </row>
    <row r="67" spans="1:35" ht="15.75" customHeight="1" thickTop="1">
      <c r="A67" s="298" t="s">
        <v>244</v>
      </c>
      <c r="B67" s="294">
        <f>SUM(B5:B66)</f>
        <v>1341984751</v>
      </c>
      <c r="C67" s="292" t="s">
        <v>153</v>
      </c>
      <c r="D67" s="292">
        <f>SUM(D5:D66)</f>
        <v>277388592</v>
      </c>
      <c r="E67" s="292" t="s">
        <v>153</v>
      </c>
      <c r="F67" s="292">
        <f>SUM(F5:F66)</f>
        <v>1491291272</v>
      </c>
      <c r="G67" s="292" t="s">
        <v>153</v>
      </c>
      <c r="H67" s="292">
        <f>SUM(H5:H66)</f>
        <v>51517559</v>
      </c>
      <c r="I67" s="292" t="s">
        <v>153</v>
      </c>
      <c r="J67" s="292">
        <f>SUM(J5:J66)</f>
        <v>4827916</v>
      </c>
      <c r="K67" s="293" t="s">
        <v>153</v>
      </c>
      <c r="L67" s="291">
        <f>SUM(L5:L66)</f>
        <v>161978700</v>
      </c>
      <c r="M67" s="292" t="s">
        <v>153</v>
      </c>
      <c r="N67" s="292" t="s">
        <v>153</v>
      </c>
      <c r="O67" s="292" t="s">
        <v>153</v>
      </c>
      <c r="P67" s="292">
        <f>SUM(P5:P66)</f>
        <v>0</v>
      </c>
      <c r="Q67" s="292" t="s">
        <v>153</v>
      </c>
      <c r="R67" s="292" t="s">
        <v>153</v>
      </c>
      <c r="S67" s="292" t="s">
        <v>153</v>
      </c>
      <c r="T67" s="292">
        <f>SUM(T5:T66)</f>
        <v>15165</v>
      </c>
      <c r="U67" s="295" t="s">
        <v>153</v>
      </c>
      <c r="V67" s="292">
        <f>SUM(V5:V66)</f>
        <v>330118815</v>
      </c>
      <c r="W67" s="311" t="s">
        <v>153</v>
      </c>
      <c r="X67" s="295">
        <f>SUM(X5:X66)</f>
        <v>227844151</v>
      </c>
      <c r="Y67" s="295" t="s">
        <v>153</v>
      </c>
      <c r="Z67" s="295">
        <f>SUM(Z5:Z66)</f>
        <v>99354051</v>
      </c>
      <c r="AA67" s="294" t="s">
        <v>153</v>
      </c>
      <c r="AB67" s="309">
        <f>SUM(AB5:AB66)</f>
        <v>3658951327</v>
      </c>
      <c r="AC67" s="293" t="s">
        <v>153</v>
      </c>
    </row>
    <row r="68" spans="1:35" ht="15.75" customHeight="1">
      <c r="A68" s="320" t="s">
        <v>245</v>
      </c>
      <c r="B68" s="36">
        <f>AVERAGE(B5:B66)</f>
        <v>21644915.338709679</v>
      </c>
      <c r="C68" s="72">
        <f t="shared" ref="C68:AA68" si="0">AVERAGE(C5:C66)</f>
        <v>36.871308970454635</v>
      </c>
      <c r="D68" s="77">
        <f t="shared" si="0"/>
        <v>4474009.5483870972</v>
      </c>
      <c r="E68" s="72">
        <f t="shared" si="0"/>
        <v>7.3883305583518899</v>
      </c>
      <c r="F68" s="77">
        <f t="shared" si="0"/>
        <v>24053085.032258064</v>
      </c>
      <c r="G68" s="72">
        <f t="shared" si="0"/>
        <v>41.061558544649422</v>
      </c>
      <c r="H68" s="425">
        <f>AVERAGE(H5:H66)</f>
        <v>830928.37096774194</v>
      </c>
      <c r="I68" s="426">
        <f>AVERAGE(I5:I66)</f>
        <v>1.5225416703469417</v>
      </c>
      <c r="J68" s="425">
        <f t="shared" si="0"/>
        <v>77869.612903225803</v>
      </c>
      <c r="K68" s="427">
        <f t="shared" si="0"/>
        <v>0.15071097749899465</v>
      </c>
      <c r="L68" s="182">
        <f t="shared" si="0"/>
        <v>2612559.6774193547</v>
      </c>
      <c r="M68" s="72">
        <f t="shared" si="0"/>
        <v>4.6499371678365327</v>
      </c>
      <c r="N68" s="77" t="s">
        <v>153</v>
      </c>
      <c r="O68" s="72" t="s">
        <v>153</v>
      </c>
      <c r="P68" s="77">
        <f t="shared" si="0"/>
        <v>0</v>
      </c>
      <c r="Q68" s="72">
        <f t="shared" si="0"/>
        <v>0</v>
      </c>
      <c r="R68" s="77" t="s">
        <v>153</v>
      </c>
      <c r="S68" s="72" t="s">
        <v>153</v>
      </c>
      <c r="T68" s="77">
        <f t="shared" si="0"/>
        <v>522.93103448275861</v>
      </c>
      <c r="U68" s="37">
        <f t="shared" si="0"/>
        <v>0</v>
      </c>
      <c r="V68" s="426">
        <f>AVERAGE(V5:V66)</f>
        <v>5411783.8524590163</v>
      </c>
      <c r="W68" s="904">
        <f t="shared" si="0"/>
        <v>8.4973657663689277</v>
      </c>
      <c r="X68" s="78">
        <f t="shared" si="0"/>
        <v>3928347.4310344825</v>
      </c>
      <c r="Y68" s="125">
        <f t="shared" si="0"/>
        <v>6.3838798659233218</v>
      </c>
      <c r="Z68" s="78">
        <f t="shared" si="0"/>
        <v>2069876.0625</v>
      </c>
      <c r="AA68" s="37">
        <f t="shared" si="0"/>
        <v>2.9752443718611019</v>
      </c>
      <c r="AB68" s="905">
        <f>AVERAGE(AB5:AB66)</f>
        <v>59015343.983870968</v>
      </c>
      <c r="AC68" s="427" t="s">
        <v>153</v>
      </c>
      <c r="AI68" s="335"/>
    </row>
    <row r="69" spans="1:35">
      <c r="A69" s="442" t="s">
        <v>246</v>
      </c>
      <c r="B69" s="468"/>
      <c r="C69" s="468"/>
      <c r="D69" s="468"/>
      <c r="E69" s="468"/>
      <c r="F69" s="468"/>
      <c r="G69" s="468"/>
      <c r="H69" s="468"/>
      <c r="I69" s="468"/>
      <c r="J69" s="468"/>
      <c r="K69" s="468"/>
      <c r="L69" s="468"/>
      <c r="M69" s="468"/>
      <c r="N69" s="468"/>
      <c r="O69" s="468"/>
      <c r="P69" s="468"/>
      <c r="Q69" s="468"/>
      <c r="R69" s="468"/>
      <c r="S69" s="468"/>
      <c r="T69" s="468"/>
      <c r="U69" s="468"/>
      <c r="V69" s="468"/>
      <c r="W69" s="468"/>
      <c r="X69" s="468"/>
      <c r="Y69" s="468"/>
      <c r="Z69" s="468"/>
      <c r="AA69" s="468"/>
      <c r="AB69" s="468"/>
      <c r="AC69" s="468"/>
    </row>
    <row r="131" spans="2:29" ht="28.5" customHeight="1">
      <c r="B131" s="1959"/>
      <c r="C131" s="1959"/>
      <c r="D131" s="1959"/>
      <c r="E131" s="1959"/>
      <c r="F131" s="1959"/>
      <c r="G131" s="1959"/>
      <c r="H131" s="371"/>
      <c r="I131" s="371"/>
      <c r="J131" s="1959"/>
      <c r="K131" s="1959"/>
      <c r="L131" s="1959"/>
      <c r="M131" s="1959"/>
      <c r="N131" s="1959"/>
      <c r="O131" s="1959"/>
      <c r="P131" s="1959"/>
      <c r="Q131" s="1959"/>
      <c r="R131" s="1959"/>
      <c r="S131" s="1959"/>
      <c r="T131" s="1959"/>
      <c r="U131" s="1959"/>
      <c r="V131" s="1959"/>
      <c r="W131" s="1959"/>
      <c r="X131" s="1959"/>
      <c r="Y131" s="1959"/>
      <c r="Z131" s="1959"/>
      <c r="AA131" s="1959"/>
      <c r="AB131" s="1959"/>
      <c r="AC131" s="1959"/>
    </row>
  </sheetData>
  <customSheetViews>
    <customSheetView guid="{CFB8F6A3-286B-44DA-98E2-E06FA9DC17D9}" scale="90" showGridLines="0">
      <pane xSplit="1" ySplit="6" topLeftCell="B7" activePane="bottomRight" state="frozen"/>
      <selection pane="bottomRight" activeCell="J21" sqref="J21"/>
      <colBreaks count="3" manualBreakCount="3">
        <brk id="9" max="70" man="1"/>
        <brk id="20" max="70" man="1"/>
        <brk id="29" max="1048575" man="1"/>
      </colBreaks>
      <pageMargins left="0" right="0" top="0" bottom="0" header="0" footer="0"/>
      <pageSetup paperSize="9" scale="80" firstPageNumber="12" fitToWidth="0" orientation="portrait" useFirstPageNumber="1" r:id="rId1"/>
      <headerFooter alignWithMargins="0"/>
    </customSheetView>
    <customSheetView guid="{429188B7-F8E8-41E0-BAA6-8F869C883D4F}" scale="70" showGridLines="0">
      <pane xSplit="1" ySplit="6" topLeftCell="B7" activePane="bottomRight" state="frozen"/>
      <selection pane="bottomRight" activeCell="A2" sqref="A2"/>
      <colBreaks count="1" manualBreakCount="1">
        <brk id="9" max="78" man="1"/>
      </colBreaks>
      <pageMargins left="0" right="0" top="0" bottom="0" header="0" footer="0"/>
      <pageSetup paperSize="8" scale="99" firstPageNumber="12" fitToWidth="0" orientation="portrait" r:id="rId2"/>
      <headerFooter alignWithMargins="0">
        <oddHeader xml:space="preserve">&amp;L&amp;"ＭＳ Ｐゴシック,太字"&amp;16ⅳ　市税内訳
（平成30年度）&amp;"ＭＳ Ｐゴシック,標準"&amp;11
</oddHeader>
      </headerFooter>
    </customSheetView>
  </customSheetViews>
  <mergeCells count="19">
    <mergeCell ref="Z2:AA2"/>
    <mergeCell ref="X2:Y2"/>
    <mergeCell ref="T1:U2"/>
    <mergeCell ref="B131:G131"/>
    <mergeCell ref="J131:U131"/>
    <mergeCell ref="V131:AC131"/>
    <mergeCell ref="F1:G2"/>
    <mergeCell ref="L1:M2"/>
    <mergeCell ref="B2:C2"/>
    <mergeCell ref="D2:E2"/>
    <mergeCell ref="B1:E1"/>
    <mergeCell ref="H1:K1"/>
    <mergeCell ref="H2:I2"/>
    <mergeCell ref="J2:K2"/>
    <mergeCell ref="AB1:AC2"/>
    <mergeCell ref="N1:O2"/>
    <mergeCell ref="P1:Q2"/>
    <mergeCell ref="V1:W2"/>
    <mergeCell ref="R1:S2"/>
  </mergeCells>
  <phoneticPr fontId="2"/>
  <dataValidations count="1">
    <dataValidation imeMode="disabled" allowBlank="1" showInputMessage="1" showErrorMessage="1" sqref="B48:AE48 B5:AC47 B49:AC66" xr:uid="{00000000-0002-0000-0C00-000000000000}"/>
  </dataValidations>
  <pageMargins left="0.74803149606299213" right="0.23622047244094491" top="1.1023622047244095" bottom="0.39370078740157483" header="0.59055118110236227" footer="0.31496062992125984"/>
  <pageSetup paperSize="9" scale="65" firstPageNumber="12" fitToWidth="0" orientation="portrait" r:id="rId3"/>
  <headerFooter alignWithMargins="0">
    <oddHeader xml:space="preserve">&amp;L&amp;"ＭＳ Ｐゴシック,太字"&amp;16&amp;K01+000ⅳ　市税内訳
（令和４年度）&amp;"ＭＳ Ｐゴシック,標準"&amp;11
</oddHeader>
  </headerFooter>
  <colBreaks count="1" manualBreakCount="1">
    <brk id="11" max="68" man="1"/>
  </colBreak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AC131"/>
  <sheetViews>
    <sheetView showGridLines="0" tabSelected="1" view="pageBreakPreview" zoomScale="90" zoomScaleNormal="90" zoomScaleSheetLayoutView="90" workbookViewId="0">
      <pane xSplit="1" ySplit="4" topLeftCell="B52" activePane="bottomRight" state="frozen"/>
      <selection pane="topRight" activeCell="J20" sqref="J19:J20"/>
      <selection pane="bottomLeft" activeCell="J20" sqref="J19:J20"/>
      <selection pane="bottomRight" activeCell="B66" sqref="B66"/>
    </sheetView>
  </sheetViews>
  <sheetFormatPr defaultRowHeight="13.2"/>
  <cols>
    <col min="1" max="1" width="13.77734375" customWidth="1"/>
    <col min="2" max="2" width="10.33203125" customWidth="1"/>
    <col min="3" max="10" width="10.6640625" customWidth="1"/>
    <col min="22" max="22" width="9.77734375" bestFit="1" customWidth="1"/>
  </cols>
  <sheetData>
    <row r="1" spans="1:29" ht="17.25" customHeight="1">
      <c r="A1" s="33" t="s">
        <v>395</v>
      </c>
      <c r="B1" s="2084" t="s">
        <v>655</v>
      </c>
      <c r="C1" s="2258"/>
      <c r="D1" s="2258"/>
      <c r="E1" s="2258" t="s">
        <v>656</v>
      </c>
      <c r="F1" s="2258"/>
      <c r="G1" s="2082"/>
      <c r="H1" s="2259" t="s">
        <v>672</v>
      </c>
      <c r="I1" s="2258"/>
      <c r="J1" s="2260"/>
    </row>
    <row r="2" spans="1:29" ht="17.25" customHeight="1">
      <c r="A2" s="40"/>
      <c r="B2" s="2263" t="s">
        <v>673</v>
      </c>
      <c r="C2" s="2265" t="s">
        <v>674</v>
      </c>
      <c r="D2" s="2254" t="s">
        <v>675</v>
      </c>
      <c r="E2" s="2265" t="s">
        <v>673</v>
      </c>
      <c r="F2" s="2265" t="s">
        <v>674</v>
      </c>
      <c r="G2" s="2262" t="s">
        <v>676</v>
      </c>
      <c r="H2" s="2266" t="s">
        <v>673</v>
      </c>
      <c r="I2" s="2265" t="s">
        <v>674</v>
      </c>
      <c r="J2" s="2261" t="s">
        <v>676</v>
      </c>
    </row>
    <row r="3" spans="1:29" ht="17.25" customHeight="1">
      <c r="A3" s="400"/>
      <c r="B3" s="2264"/>
      <c r="C3" s="2254"/>
      <c r="D3" s="2254"/>
      <c r="E3" s="2254"/>
      <c r="F3" s="2265"/>
      <c r="G3" s="2262"/>
      <c r="H3" s="2266"/>
      <c r="I3" s="2265"/>
      <c r="J3" s="2261"/>
    </row>
    <row r="4" spans="1:29" ht="17.25" customHeight="1">
      <c r="A4" s="42" t="s">
        <v>419</v>
      </c>
      <c r="B4" s="41" t="s">
        <v>137</v>
      </c>
      <c r="C4" s="38" t="s">
        <v>137</v>
      </c>
      <c r="D4" s="38" t="s">
        <v>137</v>
      </c>
      <c r="E4" s="38" t="s">
        <v>137</v>
      </c>
      <c r="F4" s="38" t="s">
        <v>137</v>
      </c>
      <c r="G4" s="48" t="s">
        <v>137</v>
      </c>
      <c r="H4" s="52" t="s">
        <v>137</v>
      </c>
      <c r="I4" s="38" t="s">
        <v>137</v>
      </c>
      <c r="J4" s="39" t="s">
        <v>137</v>
      </c>
    </row>
    <row r="5" spans="1:29" ht="15.75" customHeight="1">
      <c r="A5" s="236" t="s">
        <v>147</v>
      </c>
      <c r="B5" s="133">
        <v>99.2</v>
      </c>
      <c r="C5" s="128">
        <v>24</v>
      </c>
      <c r="D5" s="128">
        <v>96.8</v>
      </c>
      <c r="E5" s="128">
        <v>99</v>
      </c>
      <c r="F5" s="128">
        <v>15.1</v>
      </c>
      <c r="G5" s="1781">
        <v>96.6</v>
      </c>
      <c r="H5" s="192">
        <v>99.2</v>
      </c>
      <c r="I5" s="128">
        <v>19.600000000000001</v>
      </c>
      <c r="J5" s="1764">
        <v>97</v>
      </c>
    </row>
    <row r="6" spans="1:29" ht="15.75" customHeight="1">
      <c r="A6" s="320" t="s">
        <v>149</v>
      </c>
      <c r="B6" s="506">
        <v>99.5</v>
      </c>
      <c r="C6" s="504">
        <v>25.8</v>
      </c>
      <c r="D6" s="504">
        <v>98.3</v>
      </c>
      <c r="E6" s="504">
        <v>99.4</v>
      </c>
      <c r="F6" s="504">
        <v>6.5</v>
      </c>
      <c r="G6" s="1795">
        <v>96.5</v>
      </c>
      <c r="H6" s="618">
        <v>99.5</v>
      </c>
      <c r="I6" s="504">
        <v>12.8</v>
      </c>
      <c r="J6" s="1771">
        <v>97.5</v>
      </c>
      <c r="AB6" s="333"/>
      <c r="AC6" s="333"/>
    </row>
    <row r="7" spans="1:29" ht="15.75" customHeight="1">
      <c r="A7" s="236" t="s">
        <v>150</v>
      </c>
      <c r="B7" s="237">
        <v>99.3</v>
      </c>
      <c r="C7" s="232">
        <v>21.4</v>
      </c>
      <c r="D7" s="232">
        <v>96.3</v>
      </c>
      <c r="E7" s="232">
        <v>99</v>
      </c>
      <c r="F7" s="232">
        <v>14.6</v>
      </c>
      <c r="G7" s="1784">
        <v>94</v>
      </c>
      <c r="H7" s="254">
        <v>99.2</v>
      </c>
      <c r="I7" s="232">
        <v>17.2</v>
      </c>
      <c r="J7" s="1759">
        <v>95.4</v>
      </c>
      <c r="AB7" s="333"/>
      <c r="AC7" s="333"/>
    </row>
    <row r="8" spans="1:29" ht="15.75" customHeight="1">
      <c r="A8" s="320" t="s">
        <v>152</v>
      </c>
      <c r="B8" s="108">
        <v>99.2</v>
      </c>
      <c r="C8" s="99">
        <v>29.4</v>
      </c>
      <c r="D8" s="99">
        <v>97.1</v>
      </c>
      <c r="E8" s="99">
        <v>99.2</v>
      </c>
      <c r="F8" s="99">
        <v>43.3</v>
      </c>
      <c r="G8" s="1786">
        <v>97</v>
      </c>
      <c r="H8" s="205">
        <v>99.2</v>
      </c>
      <c r="I8" s="99">
        <v>37.5</v>
      </c>
      <c r="J8" s="1761">
        <v>97.2</v>
      </c>
      <c r="K8" s="326"/>
      <c r="L8" s="326"/>
      <c r="M8" s="326"/>
      <c r="P8" s="326"/>
      <c r="Q8" s="326"/>
      <c r="R8" s="326"/>
      <c r="S8" s="326"/>
      <c r="T8" s="326"/>
      <c r="U8" s="326"/>
      <c r="V8" s="326"/>
      <c r="W8" s="326"/>
      <c r="X8" s="326"/>
      <c r="Y8" s="326"/>
      <c r="Z8" s="326"/>
      <c r="AA8" s="326"/>
      <c r="AB8" s="343"/>
      <c r="AC8" s="333"/>
    </row>
    <row r="9" spans="1:29" ht="15.75" customHeight="1">
      <c r="A9" s="236" t="s">
        <v>154</v>
      </c>
      <c r="B9" s="237">
        <v>99.4</v>
      </c>
      <c r="C9" s="232">
        <v>32.5</v>
      </c>
      <c r="D9" s="232">
        <v>98.3</v>
      </c>
      <c r="E9" s="232">
        <v>99.3</v>
      </c>
      <c r="F9" s="232">
        <v>34.5</v>
      </c>
      <c r="G9" s="1784">
        <v>98</v>
      </c>
      <c r="H9" s="254">
        <v>99.4</v>
      </c>
      <c r="I9" s="232">
        <v>33.299999999999997</v>
      </c>
      <c r="J9" s="1759">
        <v>98.2</v>
      </c>
      <c r="K9" s="326"/>
      <c r="L9" s="326"/>
      <c r="M9" s="326"/>
      <c r="P9" s="326"/>
      <c r="Q9" s="326"/>
      <c r="R9" s="326"/>
      <c r="S9" s="326"/>
      <c r="T9" s="326"/>
      <c r="U9" s="326"/>
      <c r="V9" s="326"/>
      <c r="W9" s="326"/>
      <c r="X9" s="326"/>
      <c r="Y9" s="326"/>
      <c r="Z9" s="326"/>
      <c r="AA9" s="326"/>
      <c r="AB9" s="343"/>
      <c r="AC9" s="333"/>
    </row>
    <row r="10" spans="1:29" ht="15.75" customHeight="1">
      <c r="A10" s="320" t="s">
        <v>155</v>
      </c>
      <c r="B10" s="108">
        <v>99.5</v>
      </c>
      <c r="C10" s="99">
        <v>24.4</v>
      </c>
      <c r="D10" s="99">
        <v>98.1</v>
      </c>
      <c r="E10" s="99">
        <v>99</v>
      </c>
      <c r="F10" s="99">
        <v>17.5</v>
      </c>
      <c r="G10" s="1786">
        <v>95</v>
      </c>
      <c r="H10" s="205">
        <v>99.3</v>
      </c>
      <c r="I10" s="99">
        <v>19.3</v>
      </c>
      <c r="J10" s="1761">
        <v>96.7</v>
      </c>
      <c r="K10" s="326"/>
      <c r="L10" s="326"/>
      <c r="M10" s="326"/>
      <c r="P10" s="326"/>
      <c r="Q10" s="326"/>
      <c r="R10" s="326"/>
      <c r="S10" s="326"/>
      <c r="T10" s="326"/>
      <c r="U10" s="326"/>
      <c r="V10" s="326"/>
      <c r="W10" s="326"/>
      <c r="X10" s="326"/>
      <c r="Y10" s="326"/>
      <c r="Z10" s="326"/>
      <c r="AA10" s="326"/>
      <c r="AB10" s="343"/>
      <c r="AC10" s="333"/>
    </row>
    <row r="11" spans="1:29" ht="15.75" customHeight="1">
      <c r="A11" s="236" t="s">
        <v>156</v>
      </c>
      <c r="B11" s="237">
        <v>99.3</v>
      </c>
      <c r="C11" s="232">
        <v>17.600000000000001</v>
      </c>
      <c r="D11" s="232">
        <v>97.3</v>
      </c>
      <c r="E11" s="232">
        <v>99</v>
      </c>
      <c r="F11" s="232">
        <v>20.399999999999999</v>
      </c>
      <c r="G11" s="1784">
        <v>96.1</v>
      </c>
      <c r="H11" s="254">
        <v>99.2</v>
      </c>
      <c r="I11" s="232">
        <v>19.3</v>
      </c>
      <c r="J11" s="1759">
        <v>96.7</v>
      </c>
      <c r="K11" s="326"/>
      <c r="L11" s="326"/>
      <c r="M11" s="326"/>
      <c r="P11" s="326"/>
      <c r="Q11" s="326"/>
      <c r="R11" s="326"/>
      <c r="S11" s="326"/>
      <c r="T11" s="326"/>
      <c r="U11" s="326"/>
      <c r="V11" s="326"/>
      <c r="W11" s="326"/>
      <c r="X11" s="326"/>
      <c r="Y11" s="326"/>
      <c r="Z11" s="326"/>
      <c r="AA11" s="326"/>
      <c r="AB11" s="343"/>
      <c r="AC11" s="333"/>
    </row>
    <row r="12" spans="1:29" ht="15.75" customHeight="1">
      <c r="A12" s="320" t="s">
        <v>157</v>
      </c>
      <c r="B12" s="125">
        <v>99.2</v>
      </c>
      <c r="C12" s="72">
        <v>26.6</v>
      </c>
      <c r="D12" s="72">
        <v>97.3</v>
      </c>
      <c r="E12" s="72">
        <v>99.1</v>
      </c>
      <c r="F12" s="72">
        <v>22.7</v>
      </c>
      <c r="G12" s="1793">
        <v>97.3</v>
      </c>
      <c r="H12" s="126">
        <v>99.2</v>
      </c>
      <c r="I12" s="72">
        <v>24.6</v>
      </c>
      <c r="J12" s="1763">
        <v>97.4</v>
      </c>
      <c r="K12" s="326"/>
      <c r="L12" s="326"/>
      <c r="M12" s="326"/>
      <c r="P12" s="326"/>
      <c r="Q12" s="326"/>
      <c r="R12" s="326"/>
      <c r="S12" s="326"/>
      <c r="T12" s="326"/>
      <c r="U12" s="326"/>
      <c r="V12" s="326"/>
      <c r="W12" s="326"/>
      <c r="X12" s="326"/>
      <c r="Y12" s="326"/>
      <c r="Z12" s="326"/>
      <c r="AA12" s="326"/>
      <c r="AB12" s="343"/>
      <c r="AC12" s="333"/>
    </row>
    <row r="13" spans="1:29" ht="15.75" customHeight="1">
      <c r="A13" s="236" t="s">
        <v>158</v>
      </c>
      <c r="B13" s="237">
        <v>99.1</v>
      </c>
      <c r="C13" s="232">
        <v>19.100000000000001</v>
      </c>
      <c r="D13" s="232">
        <v>96</v>
      </c>
      <c r="E13" s="232">
        <v>99.4</v>
      </c>
      <c r="F13" s="232">
        <v>19.600000000000001</v>
      </c>
      <c r="G13" s="1784">
        <v>97.3</v>
      </c>
      <c r="H13" s="254">
        <v>99.3</v>
      </c>
      <c r="I13" s="232">
        <v>19.7</v>
      </c>
      <c r="J13" s="1759">
        <v>96.9</v>
      </c>
      <c r="K13" s="326"/>
      <c r="L13" s="326"/>
      <c r="M13" s="326"/>
      <c r="P13" s="326"/>
      <c r="Q13" s="326"/>
      <c r="R13" s="326"/>
      <c r="S13" s="326"/>
      <c r="T13" s="326"/>
      <c r="U13" s="326"/>
      <c r="V13" s="326"/>
      <c r="W13" s="326"/>
      <c r="X13" s="326"/>
      <c r="Y13" s="326"/>
      <c r="Z13" s="326"/>
      <c r="AA13" s="326"/>
      <c r="AB13" s="343"/>
      <c r="AC13" s="333"/>
    </row>
    <row r="14" spans="1:29" ht="15.75" customHeight="1">
      <c r="A14" s="320" t="s">
        <v>160</v>
      </c>
      <c r="B14" s="108">
        <v>98.8</v>
      </c>
      <c r="C14" s="99">
        <v>23.7</v>
      </c>
      <c r="D14" s="99">
        <v>96</v>
      </c>
      <c r="E14" s="99">
        <v>98.9</v>
      </c>
      <c r="F14" s="99">
        <v>20.7</v>
      </c>
      <c r="G14" s="1786">
        <v>96.5</v>
      </c>
      <c r="H14" s="205">
        <v>98.9</v>
      </c>
      <c r="I14" s="99">
        <v>22.7</v>
      </c>
      <c r="J14" s="1761">
        <v>96.5</v>
      </c>
      <c r="K14" s="326"/>
      <c r="L14" s="326"/>
      <c r="M14" s="326"/>
      <c r="P14" s="326"/>
      <c r="Q14" s="326"/>
      <c r="R14" s="326"/>
      <c r="S14" s="326"/>
      <c r="T14" s="326"/>
      <c r="U14" s="326"/>
      <c r="V14" s="326"/>
      <c r="W14" s="326"/>
      <c r="X14" s="326"/>
      <c r="Y14" s="326"/>
      <c r="Z14" s="326"/>
      <c r="AA14" s="326"/>
      <c r="AB14" s="343"/>
      <c r="AC14" s="333"/>
    </row>
    <row r="15" spans="1:29" ht="15.75" customHeight="1">
      <c r="A15" s="236" t="s">
        <v>162</v>
      </c>
      <c r="B15" s="173">
        <v>98.9</v>
      </c>
      <c r="C15" s="136">
        <v>33.200000000000003</v>
      </c>
      <c r="D15" s="136">
        <v>97.5</v>
      </c>
      <c r="E15" s="128">
        <v>99.2</v>
      </c>
      <c r="F15" s="128">
        <v>38.6</v>
      </c>
      <c r="G15" s="1781">
        <v>98</v>
      </c>
      <c r="H15" s="192">
        <v>99.1</v>
      </c>
      <c r="I15" s="128">
        <v>35.700000000000003</v>
      </c>
      <c r="J15" s="1764">
        <v>97.8</v>
      </c>
      <c r="T15" s="333"/>
      <c r="U15" s="334"/>
      <c r="V15" s="333"/>
      <c r="W15" s="333"/>
      <c r="X15" s="333"/>
    </row>
    <row r="16" spans="1:29" ht="15.75" customHeight="1">
      <c r="A16" s="320" t="s">
        <v>164</v>
      </c>
      <c r="B16" s="108">
        <v>99</v>
      </c>
      <c r="C16" s="99">
        <v>36.200000000000003</v>
      </c>
      <c r="D16" s="99">
        <v>97.9</v>
      </c>
      <c r="E16" s="99">
        <v>99.1</v>
      </c>
      <c r="F16" s="99">
        <v>39.700000000000003</v>
      </c>
      <c r="G16" s="1786">
        <v>98</v>
      </c>
      <c r="H16" s="205">
        <v>99.1</v>
      </c>
      <c r="I16" s="99">
        <v>37.5</v>
      </c>
      <c r="J16" s="1761">
        <v>98</v>
      </c>
    </row>
    <row r="17" spans="1:10" ht="15.75" customHeight="1">
      <c r="A17" s="236" t="s">
        <v>166</v>
      </c>
      <c r="B17" s="658">
        <v>99.5</v>
      </c>
      <c r="C17" s="648">
        <v>34.9</v>
      </c>
      <c r="D17" s="648">
        <v>98.7</v>
      </c>
      <c r="E17" s="648">
        <v>99.6</v>
      </c>
      <c r="F17" s="648">
        <v>16</v>
      </c>
      <c r="G17" s="1418">
        <v>98.6</v>
      </c>
      <c r="H17" s="660">
        <v>99.6</v>
      </c>
      <c r="I17" s="648">
        <v>26.3</v>
      </c>
      <c r="J17" s="1443">
        <v>98.7</v>
      </c>
    </row>
    <row r="18" spans="1:10" ht="15.75" customHeight="1">
      <c r="A18" s="320" t="s">
        <v>167</v>
      </c>
      <c r="B18" s="125">
        <v>99.6</v>
      </c>
      <c r="C18" s="72">
        <v>38.700000000000003</v>
      </c>
      <c r="D18" s="72">
        <v>99.2</v>
      </c>
      <c r="E18" s="72">
        <v>99.8</v>
      </c>
      <c r="F18" s="72">
        <v>11</v>
      </c>
      <c r="G18" s="1793">
        <v>99.6</v>
      </c>
      <c r="H18" s="126">
        <v>99.7</v>
      </c>
      <c r="I18" s="72">
        <v>35.6</v>
      </c>
      <c r="J18" s="1763">
        <v>99.4</v>
      </c>
    </row>
    <row r="19" spans="1:10" ht="15.75" customHeight="1">
      <c r="A19" s="236" t="s">
        <v>173</v>
      </c>
      <c r="B19" s="133">
        <v>99</v>
      </c>
      <c r="C19" s="128">
        <v>23.8</v>
      </c>
      <c r="D19" s="128">
        <v>97.1</v>
      </c>
      <c r="E19" s="128">
        <v>99.5</v>
      </c>
      <c r="F19" s="128">
        <v>28.5</v>
      </c>
      <c r="G19" s="1781">
        <v>98</v>
      </c>
      <c r="H19" s="192">
        <v>99.3</v>
      </c>
      <c r="I19" s="128">
        <v>26</v>
      </c>
      <c r="J19" s="1764">
        <v>97.7</v>
      </c>
    </row>
    <row r="20" spans="1:10" ht="15.75" customHeight="1">
      <c r="A20" s="320" t="s">
        <v>267</v>
      </c>
      <c r="B20" s="125">
        <v>98.7</v>
      </c>
      <c r="C20" s="72">
        <v>41.1</v>
      </c>
      <c r="D20" s="72">
        <v>97.1</v>
      </c>
      <c r="E20" s="72">
        <v>99.4</v>
      </c>
      <c r="F20" s="72">
        <v>53.2</v>
      </c>
      <c r="G20" s="1793">
        <v>98.9</v>
      </c>
      <c r="H20" s="126">
        <v>99.2</v>
      </c>
      <c r="I20" s="72">
        <v>44.2</v>
      </c>
      <c r="J20" s="1763">
        <v>98.1</v>
      </c>
    </row>
    <row r="21" spans="1:10" ht="15.75" customHeight="1">
      <c r="A21" s="236" t="s">
        <v>178</v>
      </c>
      <c r="B21" s="133">
        <v>99</v>
      </c>
      <c r="C21" s="128">
        <v>44.4</v>
      </c>
      <c r="D21" s="128">
        <v>97.8</v>
      </c>
      <c r="E21" s="128">
        <v>99.5</v>
      </c>
      <c r="F21" s="128">
        <v>41.6</v>
      </c>
      <c r="G21" s="1781">
        <v>98.6</v>
      </c>
      <c r="H21" s="192">
        <v>99.3</v>
      </c>
      <c r="I21" s="128">
        <v>43.2</v>
      </c>
      <c r="J21" s="1764">
        <v>98.2</v>
      </c>
    </row>
    <row r="22" spans="1:10" ht="15.75" customHeight="1">
      <c r="A22" s="320" t="s">
        <v>179</v>
      </c>
      <c r="B22" s="125">
        <v>99.1</v>
      </c>
      <c r="C22" s="72">
        <v>36.700000000000003</v>
      </c>
      <c r="D22" s="72">
        <v>97.5</v>
      </c>
      <c r="E22" s="72">
        <v>99.5</v>
      </c>
      <c r="F22" s="72">
        <v>45.3</v>
      </c>
      <c r="G22" s="1786">
        <v>98.9</v>
      </c>
      <c r="H22" s="205">
        <v>99.3</v>
      </c>
      <c r="I22" s="99">
        <v>39.200000000000003</v>
      </c>
      <c r="J22" s="1761">
        <v>98.2</v>
      </c>
    </row>
    <row r="23" spans="1:10" ht="15.75" customHeight="1">
      <c r="A23" s="236" t="s">
        <v>182</v>
      </c>
      <c r="B23" s="133">
        <v>98.6</v>
      </c>
      <c r="C23" s="128">
        <v>31.6</v>
      </c>
      <c r="D23" s="128">
        <v>96.6</v>
      </c>
      <c r="E23" s="128">
        <v>99.2</v>
      </c>
      <c r="F23" s="128">
        <v>35.4</v>
      </c>
      <c r="G23" s="1781">
        <v>98</v>
      </c>
      <c r="H23" s="192">
        <v>99</v>
      </c>
      <c r="I23" s="128">
        <v>32.799999999999997</v>
      </c>
      <c r="J23" s="1764">
        <v>97.4</v>
      </c>
    </row>
    <row r="24" spans="1:10" ht="15.75" customHeight="1">
      <c r="A24" s="320" t="s">
        <v>184</v>
      </c>
      <c r="B24" s="108">
        <v>99.5</v>
      </c>
      <c r="C24" s="99">
        <v>33.6</v>
      </c>
      <c r="D24" s="99">
        <v>98.7</v>
      </c>
      <c r="E24" s="99">
        <v>99.8</v>
      </c>
      <c r="F24" s="99">
        <v>52.1</v>
      </c>
      <c r="G24" s="1786">
        <v>99.7</v>
      </c>
      <c r="H24" s="205">
        <v>99.7</v>
      </c>
      <c r="I24" s="99">
        <v>37.6</v>
      </c>
      <c r="J24" s="1761">
        <v>99.2</v>
      </c>
    </row>
    <row r="25" spans="1:10" ht="15.75" customHeight="1">
      <c r="A25" s="236" t="s">
        <v>186</v>
      </c>
      <c r="B25" s="133">
        <v>99</v>
      </c>
      <c r="C25" s="128">
        <v>22.8</v>
      </c>
      <c r="D25" s="128">
        <v>96.4</v>
      </c>
      <c r="E25" s="128">
        <v>99.2</v>
      </c>
      <c r="F25" s="128">
        <v>25.2</v>
      </c>
      <c r="G25" s="1781">
        <v>97.4</v>
      </c>
      <c r="H25" s="192">
        <v>99.2</v>
      </c>
      <c r="I25" s="128">
        <v>23.9</v>
      </c>
      <c r="J25" s="1764">
        <v>97.1</v>
      </c>
    </row>
    <row r="26" spans="1:10" ht="15.75" customHeight="1">
      <c r="A26" s="320" t="s">
        <v>187</v>
      </c>
      <c r="B26" s="108">
        <v>99.3</v>
      </c>
      <c r="C26" s="99">
        <v>27.1</v>
      </c>
      <c r="D26" s="99">
        <v>97.2</v>
      </c>
      <c r="E26" s="99">
        <v>99.1</v>
      </c>
      <c r="F26" s="99">
        <v>20.9</v>
      </c>
      <c r="G26" s="1786">
        <v>95.7</v>
      </c>
      <c r="H26" s="205">
        <v>99.2</v>
      </c>
      <c r="I26" s="99">
        <v>22.7</v>
      </c>
      <c r="J26" s="1761">
        <v>96.6</v>
      </c>
    </row>
    <row r="27" spans="1:10" ht="15.75" customHeight="1">
      <c r="A27" s="236" t="s">
        <v>269</v>
      </c>
      <c r="B27" s="133">
        <v>99.5</v>
      </c>
      <c r="C27" s="128">
        <v>31.4</v>
      </c>
      <c r="D27" s="128">
        <v>97.9</v>
      </c>
      <c r="E27" s="128">
        <v>99.4</v>
      </c>
      <c r="F27" s="128">
        <v>32.799999999999997</v>
      </c>
      <c r="G27" s="1781">
        <v>97.9</v>
      </c>
      <c r="H27" s="192">
        <v>99.5</v>
      </c>
      <c r="I27" s="128">
        <v>32.200000000000003</v>
      </c>
      <c r="J27" s="1764">
        <v>98</v>
      </c>
    </row>
    <row r="28" spans="1:10" ht="15.75" customHeight="1">
      <c r="A28" s="320" t="s">
        <v>270</v>
      </c>
      <c r="B28" s="125">
        <v>99.5</v>
      </c>
      <c r="C28" s="72">
        <v>41.9</v>
      </c>
      <c r="D28" s="72">
        <v>98.8</v>
      </c>
      <c r="E28" s="72">
        <v>99.6</v>
      </c>
      <c r="F28" s="72">
        <v>24.3</v>
      </c>
      <c r="G28" s="1793">
        <v>98</v>
      </c>
      <c r="H28" s="126">
        <v>99.5</v>
      </c>
      <c r="I28" s="72">
        <v>30.3</v>
      </c>
      <c r="J28" s="1763">
        <v>98.4</v>
      </c>
    </row>
    <row r="29" spans="1:10" ht="15.75" customHeight="1">
      <c r="A29" s="236" t="s">
        <v>271</v>
      </c>
      <c r="B29" s="133">
        <v>99.5</v>
      </c>
      <c r="C29" s="128">
        <v>31.7</v>
      </c>
      <c r="D29" s="128">
        <v>98.3</v>
      </c>
      <c r="E29" s="128">
        <v>98.9</v>
      </c>
      <c r="F29" s="128">
        <v>20.7</v>
      </c>
      <c r="G29" s="1781">
        <v>95.8</v>
      </c>
      <c r="H29" s="192">
        <v>99.2</v>
      </c>
      <c r="I29" s="128">
        <v>23.9</v>
      </c>
      <c r="J29" s="1764">
        <v>97.1</v>
      </c>
    </row>
    <row r="30" spans="1:10" ht="15.75" customHeight="1">
      <c r="A30" s="320" t="s">
        <v>193</v>
      </c>
      <c r="B30" s="125">
        <v>99.6</v>
      </c>
      <c r="C30" s="72">
        <v>47.5</v>
      </c>
      <c r="D30" s="72">
        <v>99.2</v>
      </c>
      <c r="E30" s="72">
        <v>99.6</v>
      </c>
      <c r="F30" s="72">
        <v>34.299999999999997</v>
      </c>
      <c r="G30" s="1793">
        <v>99.1</v>
      </c>
      <c r="H30" s="126">
        <v>99.6</v>
      </c>
      <c r="I30" s="72">
        <v>41.1</v>
      </c>
      <c r="J30" s="1763">
        <v>99.2</v>
      </c>
    </row>
    <row r="31" spans="1:10" ht="15.75" customHeight="1">
      <c r="A31" s="236" t="s">
        <v>272</v>
      </c>
      <c r="B31" s="237">
        <v>99.4</v>
      </c>
      <c r="C31" s="232">
        <v>34.6</v>
      </c>
      <c r="D31" s="232">
        <v>98.4</v>
      </c>
      <c r="E31" s="232">
        <v>99.5</v>
      </c>
      <c r="F31" s="232">
        <v>39.700000000000003</v>
      </c>
      <c r="G31" s="1784">
        <v>98.8</v>
      </c>
      <c r="H31" s="254">
        <v>99.5</v>
      </c>
      <c r="I31" s="232">
        <v>36.5</v>
      </c>
      <c r="J31" s="1759">
        <v>98.7</v>
      </c>
    </row>
    <row r="32" spans="1:10" ht="15.75" customHeight="1">
      <c r="A32" s="320" t="s">
        <v>196</v>
      </c>
      <c r="B32" s="125">
        <v>99</v>
      </c>
      <c r="C32" s="72">
        <v>21.5</v>
      </c>
      <c r="D32" s="72">
        <v>96.1</v>
      </c>
      <c r="E32" s="72">
        <v>99.1</v>
      </c>
      <c r="F32" s="72">
        <v>21.3</v>
      </c>
      <c r="G32" s="1793">
        <v>95.7</v>
      </c>
      <c r="H32" s="126">
        <v>99.1</v>
      </c>
      <c r="I32" s="72">
        <v>21.4</v>
      </c>
      <c r="J32" s="1763">
        <v>96.1</v>
      </c>
    </row>
    <row r="33" spans="1:10" ht="15.75" customHeight="1">
      <c r="A33" s="236" t="s">
        <v>197</v>
      </c>
      <c r="B33" s="237">
        <v>99</v>
      </c>
      <c r="C33" s="232">
        <v>28.7</v>
      </c>
      <c r="D33" s="232">
        <v>96.7</v>
      </c>
      <c r="E33" s="232">
        <v>99.6</v>
      </c>
      <c r="F33" s="232">
        <v>24.9</v>
      </c>
      <c r="G33" s="1784">
        <v>98.2</v>
      </c>
      <c r="H33" s="254">
        <v>99.4</v>
      </c>
      <c r="I33" s="232">
        <v>27.1</v>
      </c>
      <c r="J33" s="1759">
        <v>97.7</v>
      </c>
    </row>
    <row r="34" spans="1:10" ht="15.75" customHeight="1">
      <c r="A34" s="320" t="s">
        <v>198</v>
      </c>
      <c r="B34" s="125">
        <v>99</v>
      </c>
      <c r="C34" s="72">
        <v>22.3</v>
      </c>
      <c r="D34" s="72">
        <v>96.8</v>
      </c>
      <c r="E34" s="72">
        <v>99.6</v>
      </c>
      <c r="F34" s="72">
        <v>25.7</v>
      </c>
      <c r="G34" s="1793">
        <v>98.5</v>
      </c>
      <c r="H34" s="126">
        <v>99.3</v>
      </c>
      <c r="I34" s="72">
        <v>23.7</v>
      </c>
      <c r="J34" s="1763">
        <v>97.9</v>
      </c>
    </row>
    <row r="35" spans="1:10" ht="15.75" customHeight="1">
      <c r="A35" s="236" t="s">
        <v>199</v>
      </c>
      <c r="B35" s="237">
        <v>99.1</v>
      </c>
      <c r="C35" s="232">
        <v>31</v>
      </c>
      <c r="D35" s="232">
        <v>97.5</v>
      </c>
      <c r="E35" s="232">
        <v>99.5</v>
      </c>
      <c r="F35" s="232">
        <v>29.3</v>
      </c>
      <c r="G35" s="1784">
        <v>98.2</v>
      </c>
      <c r="H35" s="254">
        <v>99.3</v>
      </c>
      <c r="I35" s="232">
        <v>30.1</v>
      </c>
      <c r="J35" s="1759">
        <v>98</v>
      </c>
    </row>
    <row r="36" spans="1:10" ht="15.75" customHeight="1">
      <c r="A36" s="320" t="s">
        <v>201</v>
      </c>
      <c r="B36" s="108">
        <v>99.6</v>
      </c>
      <c r="C36" s="99">
        <v>30.9</v>
      </c>
      <c r="D36" s="99">
        <v>99</v>
      </c>
      <c r="E36" s="99">
        <v>99.8</v>
      </c>
      <c r="F36" s="99">
        <v>49</v>
      </c>
      <c r="G36" s="1786">
        <v>99.6</v>
      </c>
      <c r="H36" s="205">
        <v>99.7</v>
      </c>
      <c r="I36" s="99">
        <v>35</v>
      </c>
      <c r="J36" s="1761">
        <v>99.3</v>
      </c>
    </row>
    <row r="37" spans="1:10" ht="15.75" customHeight="1">
      <c r="A37" s="236" t="s">
        <v>203</v>
      </c>
      <c r="B37" s="133">
        <v>99.3</v>
      </c>
      <c r="C37" s="128">
        <v>24.1</v>
      </c>
      <c r="D37" s="128">
        <v>97</v>
      </c>
      <c r="E37" s="128">
        <v>99.1</v>
      </c>
      <c r="F37" s="128">
        <v>19.100000000000001</v>
      </c>
      <c r="G37" s="1781">
        <v>95.4</v>
      </c>
      <c r="H37" s="192">
        <v>99.2</v>
      </c>
      <c r="I37" s="128">
        <v>21</v>
      </c>
      <c r="J37" s="1764">
        <v>96.3</v>
      </c>
    </row>
    <row r="38" spans="1:10" ht="15.75" customHeight="1">
      <c r="A38" s="320" t="s">
        <v>204</v>
      </c>
      <c r="B38" s="125">
        <v>99.2</v>
      </c>
      <c r="C38" s="72">
        <v>30.3</v>
      </c>
      <c r="D38" s="72">
        <v>97.7</v>
      </c>
      <c r="E38" s="72">
        <v>99.5</v>
      </c>
      <c r="F38" s="72">
        <v>35.4</v>
      </c>
      <c r="G38" s="1793">
        <v>98.3</v>
      </c>
      <c r="H38" s="126">
        <v>99.4</v>
      </c>
      <c r="I38" s="72">
        <v>32.200000000000003</v>
      </c>
      <c r="J38" s="1763">
        <v>98.1</v>
      </c>
    </row>
    <row r="39" spans="1:10" ht="15.75" customHeight="1">
      <c r="A39" s="236" t="s">
        <v>205</v>
      </c>
      <c r="B39" s="133">
        <v>99.5</v>
      </c>
      <c r="C39" s="232">
        <v>35.5</v>
      </c>
      <c r="D39" s="232">
        <v>98.6</v>
      </c>
      <c r="E39" s="128">
        <v>99.7</v>
      </c>
      <c r="F39" s="232">
        <v>41.3</v>
      </c>
      <c r="G39" s="1781">
        <v>99.2</v>
      </c>
      <c r="H39" s="192">
        <v>99.6</v>
      </c>
      <c r="I39" s="232">
        <v>38</v>
      </c>
      <c r="J39" s="1759">
        <v>98.9</v>
      </c>
    </row>
    <row r="40" spans="1:10" ht="15.75" customHeight="1">
      <c r="A40" s="320" t="s">
        <v>208</v>
      </c>
      <c r="B40" s="108">
        <v>99.5</v>
      </c>
      <c r="C40" s="99">
        <v>54.8</v>
      </c>
      <c r="D40" s="99">
        <v>99.2</v>
      </c>
      <c r="E40" s="99">
        <v>99.9</v>
      </c>
      <c r="F40" s="99">
        <v>52.8</v>
      </c>
      <c r="G40" s="1786">
        <v>99.8</v>
      </c>
      <c r="H40" s="205">
        <v>99.7</v>
      </c>
      <c r="I40" s="99">
        <v>54.1</v>
      </c>
      <c r="J40" s="1761">
        <v>99.5</v>
      </c>
    </row>
    <row r="41" spans="1:10" ht="15.75" customHeight="1">
      <c r="A41" s="236" t="s">
        <v>209</v>
      </c>
      <c r="B41" s="133">
        <v>99.7</v>
      </c>
      <c r="C41" s="128">
        <v>44.8</v>
      </c>
      <c r="D41" s="128">
        <v>99.4</v>
      </c>
      <c r="E41" s="128">
        <v>99.9</v>
      </c>
      <c r="F41" s="128">
        <v>34.799999999999997</v>
      </c>
      <c r="G41" s="1781">
        <v>99.6</v>
      </c>
      <c r="H41" s="192">
        <v>99.8</v>
      </c>
      <c r="I41" s="128">
        <v>40.6</v>
      </c>
      <c r="J41" s="1764">
        <v>99.5</v>
      </c>
    </row>
    <row r="42" spans="1:10" ht="15.75" customHeight="1">
      <c r="A42" s="320" t="s">
        <v>273</v>
      </c>
      <c r="B42" s="108">
        <v>99.4</v>
      </c>
      <c r="C42" s="99">
        <v>43.4</v>
      </c>
      <c r="D42" s="99">
        <v>98.5</v>
      </c>
      <c r="E42" s="99">
        <v>99.6</v>
      </c>
      <c r="F42" s="99">
        <v>34.700000000000003</v>
      </c>
      <c r="G42" s="1786">
        <v>98.3</v>
      </c>
      <c r="H42" s="205">
        <v>99.5</v>
      </c>
      <c r="I42" s="99">
        <v>37.700000000000003</v>
      </c>
      <c r="J42" s="1761">
        <v>98.4</v>
      </c>
    </row>
    <row r="43" spans="1:10" ht="15.75" customHeight="1">
      <c r="A43" s="236" t="s">
        <v>274</v>
      </c>
      <c r="B43" s="133">
        <v>98.4</v>
      </c>
      <c r="C43" s="128">
        <v>54.9</v>
      </c>
      <c r="D43" s="128">
        <v>97.8</v>
      </c>
      <c r="E43" s="128">
        <v>99.3</v>
      </c>
      <c r="F43" s="128">
        <v>20</v>
      </c>
      <c r="G43" s="1781">
        <v>96.8</v>
      </c>
      <c r="H43" s="192">
        <v>98.9</v>
      </c>
      <c r="I43" s="128">
        <v>30.3</v>
      </c>
      <c r="J43" s="1764">
        <v>97.3</v>
      </c>
    </row>
    <row r="44" spans="1:10" ht="15.75" customHeight="1">
      <c r="A44" s="320" t="s">
        <v>215</v>
      </c>
      <c r="B44" s="125">
        <v>99.1</v>
      </c>
      <c r="C44" s="72">
        <v>38.299999999999997</v>
      </c>
      <c r="D44" s="72">
        <v>98.2</v>
      </c>
      <c r="E44" s="72">
        <v>99.7</v>
      </c>
      <c r="F44" s="72">
        <v>43.6</v>
      </c>
      <c r="G44" s="1793">
        <v>99.3</v>
      </c>
      <c r="H44" s="126">
        <v>99.5</v>
      </c>
      <c r="I44" s="72">
        <v>39.200000000000003</v>
      </c>
      <c r="J44" s="1763">
        <v>98.9</v>
      </c>
    </row>
    <row r="45" spans="1:10" ht="15.75" customHeight="1">
      <c r="A45" s="236" t="s">
        <v>216</v>
      </c>
      <c r="B45" s="133">
        <v>99.3</v>
      </c>
      <c r="C45" s="128">
        <v>27.5</v>
      </c>
      <c r="D45" s="128">
        <v>97.6</v>
      </c>
      <c r="E45" s="128">
        <v>99.5</v>
      </c>
      <c r="F45" s="128">
        <v>21.3</v>
      </c>
      <c r="G45" s="1781">
        <v>97.6</v>
      </c>
      <c r="H45" s="192">
        <v>99.4</v>
      </c>
      <c r="I45" s="128">
        <v>24</v>
      </c>
      <c r="J45" s="1764">
        <v>97.7</v>
      </c>
    </row>
    <row r="46" spans="1:10" ht="15.75" customHeight="1">
      <c r="A46" s="320" t="s">
        <v>218</v>
      </c>
      <c r="B46" s="125">
        <v>98.8</v>
      </c>
      <c r="C46" s="72">
        <v>32.299999999999997</v>
      </c>
      <c r="D46" s="72">
        <v>96.5</v>
      </c>
      <c r="E46" s="72">
        <v>99.5</v>
      </c>
      <c r="F46" s="72">
        <v>41.3</v>
      </c>
      <c r="G46" s="1793">
        <v>98.6</v>
      </c>
      <c r="H46" s="126">
        <v>99.2</v>
      </c>
      <c r="I46" s="72">
        <v>35.700000000000003</v>
      </c>
      <c r="J46" s="1763">
        <v>97.8</v>
      </c>
    </row>
    <row r="47" spans="1:10" ht="15.75" customHeight="1">
      <c r="A47" s="236" t="s">
        <v>275</v>
      </c>
      <c r="B47" s="133">
        <v>99.4</v>
      </c>
      <c r="C47" s="128">
        <v>22.1</v>
      </c>
      <c r="D47" s="128">
        <v>97.5</v>
      </c>
      <c r="E47" s="128">
        <v>99.4</v>
      </c>
      <c r="F47" s="128">
        <v>27.7</v>
      </c>
      <c r="G47" s="1781">
        <v>97.5</v>
      </c>
      <c r="H47" s="192">
        <v>99.4</v>
      </c>
      <c r="I47" s="128">
        <v>25.2</v>
      </c>
      <c r="J47" s="1764">
        <v>97.6</v>
      </c>
    </row>
    <row r="48" spans="1:10" ht="15.75" customHeight="1">
      <c r="A48" s="320" t="s">
        <v>220</v>
      </c>
      <c r="B48" s="108">
        <v>99.4</v>
      </c>
      <c r="C48" s="99">
        <v>46.7</v>
      </c>
      <c r="D48" s="99">
        <v>98.8</v>
      </c>
      <c r="E48" s="99">
        <v>99.7</v>
      </c>
      <c r="F48" s="99">
        <v>34.700000000000003</v>
      </c>
      <c r="G48" s="1786">
        <v>99.1</v>
      </c>
      <c r="H48" s="205">
        <v>99.5</v>
      </c>
      <c r="I48" s="99">
        <v>25.5</v>
      </c>
      <c r="J48" s="1761">
        <v>98.4</v>
      </c>
    </row>
    <row r="49" spans="1:10" ht="15.75" customHeight="1">
      <c r="A49" s="236" t="s">
        <v>221</v>
      </c>
      <c r="B49" s="237">
        <v>99.4</v>
      </c>
      <c r="C49" s="232">
        <v>27.6</v>
      </c>
      <c r="D49" s="232">
        <v>97.8</v>
      </c>
      <c r="E49" s="232">
        <v>99.3</v>
      </c>
      <c r="F49" s="232">
        <v>26.3</v>
      </c>
      <c r="G49" s="1784">
        <v>97.3</v>
      </c>
      <c r="H49" s="254">
        <v>99.4</v>
      </c>
      <c r="I49" s="232">
        <v>26.6</v>
      </c>
      <c r="J49" s="1759">
        <v>97.6</v>
      </c>
    </row>
    <row r="50" spans="1:10" ht="15.75" customHeight="1">
      <c r="A50" s="320" t="s">
        <v>223</v>
      </c>
      <c r="B50" s="108">
        <v>99.1</v>
      </c>
      <c r="C50" s="99">
        <v>23.6</v>
      </c>
      <c r="D50" s="99">
        <v>97.9</v>
      </c>
      <c r="E50" s="99">
        <v>99.2</v>
      </c>
      <c r="F50" s="99">
        <v>25.7</v>
      </c>
      <c r="G50" s="1786">
        <v>97.8</v>
      </c>
      <c r="H50" s="205">
        <v>99.2</v>
      </c>
      <c r="I50" s="99">
        <v>24.9</v>
      </c>
      <c r="J50" s="1761">
        <v>97.8</v>
      </c>
    </row>
    <row r="51" spans="1:10" ht="15.75" customHeight="1">
      <c r="A51" s="236" t="s">
        <v>276</v>
      </c>
      <c r="B51" s="237">
        <v>99.1</v>
      </c>
      <c r="C51" s="232">
        <v>17.5</v>
      </c>
      <c r="D51" s="232">
        <v>97.2</v>
      </c>
      <c r="E51" s="232">
        <v>99.2</v>
      </c>
      <c r="F51" s="232">
        <v>26.1</v>
      </c>
      <c r="G51" s="1784">
        <v>97.9</v>
      </c>
      <c r="H51" s="254">
        <v>99.2</v>
      </c>
      <c r="I51" s="232">
        <v>21.6</v>
      </c>
      <c r="J51" s="1759">
        <v>97.7</v>
      </c>
    </row>
    <row r="52" spans="1:10" ht="15.75" customHeight="1">
      <c r="A52" s="320" t="s">
        <v>277</v>
      </c>
      <c r="B52" s="125">
        <v>99.6</v>
      </c>
      <c r="C52" s="72">
        <v>46.1</v>
      </c>
      <c r="D52" s="72">
        <v>99.1</v>
      </c>
      <c r="E52" s="72">
        <v>99.3</v>
      </c>
      <c r="F52" s="72">
        <v>21</v>
      </c>
      <c r="G52" s="1793">
        <v>97.8</v>
      </c>
      <c r="H52" s="126">
        <v>99.5</v>
      </c>
      <c r="I52" s="72">
        <v>29.1</v>
      </c>
      <c r="J52" s="1763">
        <v>98.4</v>
      </c>
    </row>
    <row r="53" spans="1:10" ht="15.75" customHeight="1">
      <c r="A53" s="236" t="s">
        <v>226</v>
      </c>
      <c r="B53" s="133">
        <v>99.2</v>
      </c>
      <c r="C53" s="128">
        <v>35.700000000000003</v>
      </c>
      <c r="D53" s="128">
        <v>98.2</v>
      </c>
      <c r="E53" s="128">
        <v>99.6</v>
      </c>
      <c r="F53" s="128">
        <v>26.4</v>
      </c>
      <c r="G53" s="1781">
        <v>98.9</v>
      </c>
      <c r="H53" s="192">
        <v>99.5</v>
      </c>
      <c r="I53" s="128">
        <v>31.6</v>
      </c>
      <c r="J53" s="1764">
        <v>98.7</v>
      </c>
    </row>
    <row r="54" spans="1:10" ht="15.75" customHeight="1">
      <c r="A54" s="320" t="s">
        <v>278</v>
      </c>
      <c r="B54" s="108">
        <v>99.9</v>
      </c>
      <c r="C54" s="99">
        <v>30.1</v>
      </c>
      <c r="D54" s="99">
        <v>99.5</v>
      </c>
      <c r="E54" s="99">
        <v>99.8</v>
      </c>
      <c r="F54" s="99">
        <v>27.9</v>
      </c>
      <c r="G54" s="1786">
        <v>99.4</v>
      </c>
      <c r="H54" s="205">
        <v>99.9</v>
      </c>
      <c r="I54" s="99">
        <v>28.7</v>
      </c>
      <c r="J54" s="1761">
        <v>99.5</v>
      </c>
    </row>
    <row r="55" spans="1:10" ht="15.75" customHeight="1">
      <c r="A55" s="236" t="s">
        <v>228</v>
      </c>
      <c r="B55" s="133">
        <v>99.1</v>
      </c>
      <c r="C55" s="128">
        <v>29.7</v>
      </c>
      <c r="D55" s="128">
        <v>97.4</v>
      </c>
      <c r="E55" s="128">
        <v>99.6</v>
      </c>
      <c r="F55" s="128">
        <v>29.3</v>
      </c>
      <c r="G55" s="1781">
        <v>98.5</v>
      </c>
      <c r="H55" s="192">
        <v>99.4</v>
      </c>
      <c r="I55" s="128">
        <v>29.2</v>
      </c>
      <c r="J55" s="1764">
        <v>98.1</v>
      </c>
    </row>
    <row r="56" spans="1:10" ht="15.75" customHeight="1">
      <c r="A56" s="320" t="s">
        <v>229</v>
      </c>
      <c r="B56" s="506">
        <v>99.19</v>
      </c>
      <c r="C56" s="504">
        <v>24.84</v>
      </c>
      <c r="D56" s="504">
        <v>97.5</v>
      </c>
      <c r="E56" s="504">
        <v>99.34</v>
      </c>
      <c r="F56" s="504">
        <v>23.62</v>
      </c>
      <c r="G56" s="1795">
        <v>98</v>
      </c>
      <c r="H56" s="618">
        <v>99.29</v>
      </c>
      <c r="I56" s="504">
        <v>23.91</v>
      </c>
      <c r="J56" s="1771">
        <v>97.8</v>
      </c>
    </row>
    <row r="57" spans="1:10" ht="15.75" customHeight="1">
      <c r="A57" s="236" t="s">
        <v>230</v>
      </c>
      <c r="B57" s="135">
        <v>99.3</v>
      </c>
      <c r="C57" s="128">
        <v>32.700000000000003</v>
      </c>
      <c r="D57" s="128">
        <v>98</v>
      </c>
      <c r="E57" s="128">
        <v>99.2</v>
      </c>
      <c r="F57" s="128">
        <v>25.8</v>
      </c>
      <c r="G57" s="1781">
        <v>97.2</v>
      </c>
      <c r="H57" s="192">
        <v>99.3</v>
      </c>
      <c r="I57" s="128">
        <v>29</v>
      </c>
      <c r="J57" s="134">
        <v>97.7</v>
      </c>
    </row>
    <row r="58" spans="1:10" ht="15.75" customHeight="1">
      <c r="A58" s="320" t="s">
        <v>231</v>
      </c>
      <c r="B58" s="686">
        <v>99.5</v>
      </c>
      <c r="C58" s="72">
        <v>36.4</v>
      </c>
      <c r="D58" s="72">
        <v>98.7</v>
      </c>
      <c r="E58" s="72">
        <v>99.6</v>
      </c>
      <c r="F58" s="72">
        <v>27.6</v>
      </c>
      <c r="G58" s="1793">
        <v>98.8</v>
      </c>
      <c r="H58" s="126">
        <v>99.6</v>
      </c>
      <c r="I58" s="72">
        <v>32.6</v>
      </c>
      <c r="J58" s="1763">
        <v>98.8</v>
      </c>
    </row>
    <row r="59" spans="1:10" ht="15.75" customHeight="1">
      <c r="A59" s="236" t="s">
        <v>232</v>
      </c>
      <c r="B59" s="258">
        <v>99.5</v>
      </c>
      <c r="C59" s="232">
        <v>41.3</v>
      </c>
      <c r="D59" s="232">
        <v>98.8</v>
      </c>
      <c r="E59" s="232">
        <v>99.7</v>
      </c>
      <c r="F59" s="232">
        <v>17.7</v>
      </c>
      <c r="G59" s="1784">
        <v>97.6</v>
      </c>
      <c r="H59" s="254">
        <v>99.6</v>
      </c>
      <c r="I59" s="237">
        <v>26</v>
      </c>
      <c r="J59" s="239">
        <v>98.3</v>
      </c>
    </row>
    <row r="60" spans="1:10" ht="15.75" customHeight="1">
      <c r="A60" s="320" t="s">
        <v>234</v>
      </c>
      <c r="B60" s="108">
        <v>99.1</v>
      </c>
      <c r="C60" s="99">
        <v>29.4</v>
      </c>
      <c r="D60" s="99">
        <v>97.5</v>
      </c>
      <c r="E60" s="99">
        <v>99.3</v>
      </c>
      <c r="F60" s="99">
        <v>28.5</v>
      </c>
      <c r="G60" s="1786">
        <v>97.7</v>
      </c>
      <c r="H60" s="205">
        <v>99.2</v>
      </c>
      <c r="I60" s="99">
        <v>29.1</v>
      </c>
      <c r="J60" s="1761">
        <v>97.7</v>
      </c>
    </row>
    <row r="61" spans="1:10" ht="15.75" customHeight="1">
      <c r="A61" s="236" t="s">
        <v>236</v>
      </c>
      <c r="B61" s="258">
        <v>99.29</v>
      </c>
      <c r="C61" s="232">
        <v>32.9</v>
      </c>
      <c r="D61" s="232">
        <v>97.9</v>
      </c>
      <c r="E61" s="232">
        <v>99.17</v>
      </c>
      <c r="F61" s="232">
        <v>29.71</v>
      </c>
      <c r="G61" s="1784">
        <v>97.14</v>
      </c>
      <c r="H61" s="254">
        <v>99.26</v>
      </c>
      <c r="I61" s="1784">
        <v>31.79</v>
      </c>
      <c r="J61" s="239">
        <v>97.67</v>
      </c>
    </row>
    <row r="62" spans="1:10" ht="15.75" customHeight="1">
      <c r="A62" s="320" t="s">
        <v>279</v>
      </c>
      <c r="B62" s="108">
        <v>99.1</v>
      </c>
      <c r="C62" s="99">
        <v>19.7</v>
      </c>
      <c r="D62" s="99">
        <v>97.3</v>
      </c>
      <c r="E62" s="99">
        <v>99.3</v>
      </c>
      <c r="F62" s="99">
        <v>18.2</v>
      </c>
      <c r="G62" s="1786">
        <v>97.9</v>
      </c>
      <c r="H62" s="205">
        <v>99.3</v>
      </c>
      <c r="I62" s="99">
        <v>19.2</v>
      </c>
      <c r="J62" s="1761">
        <v>97.7</v>
      </c>
    </row>
    <row r="63" spans="1:10" ht="15.75" customHeight="1">
      <c r="A63" s="236" t="s">
        <v>238</v>
      </c>
      <c r="B63" s="135">
        <v>99.8</v>
      </c>
      <c r="C63" s="128">
        <v>34.1</v>
      </c>
      <c r="D63" s="128">
        <v>99.3</v>
      </c>
      <c r="E63" s="128">
        <v>99.9</v>
      </c>
      <c r="F63" s="128">
        <v>16.3</v>
      </c>
      <c r="G63" s="1781">
        <v>99.6</v>
      </c>
      <c r="H63" s="192">
        <v>99.9</v>
      </c>
      <c r="I63" s="128">
        <v>27.6</v>
      </c>
      <c r="J63" s="134">
        <v>99.5</v>
      </c>
    </row>
    <row r="64" spans="1:10" ht="15.75" customHeight="1">
      <c r="A64" s="320" t="s">
        <v>239</v>
      </c>
      <c r="B64" s="500">
        <v>99.2</v>
      </c>
      <c r="C64" s="497">
        <v>34.5</v>
      </c>
      <c r="D64" s="497">
        <v>98</v>
      </c>
      <c r="E64" s="497">
        <v>99.4</v>
      </c>
      <c r="F64" s="497">
        <v>37.799999999999997</v>
      </c>
      <c r="G64" s="1783">
        <v>98.5</v>
      </c>
      <c r="H64" s="702">
        <v>99.4</v>
      </c>
      <c r="I64" s="497">
        <v>35.6</v>
      </c>
      <c r="J64" s="1757">
        <v>98.3</v>
      </c>
    </row>
    <row r="65" spans="1:10" ht="15.75" customHeight="1">
      <c r="A65" s="236" t="s">
        <v>241</v>
      </c>
      <c r="B65" s="135">
        <v>99.4</v>
      </c>
      <c r="C65" s="128">
        <v>29.9</v>
      </c>
      <c r="D65" s="128">
        <v>98.1</v>
      </c>
      <c r="E65" s="128">
        <v>99.3</v>
      </c>
      <c r="F65" s="128">
        <v>21.9</v>
      </c>
      <c r="G65" s="1781">
        <v>97.3</v>
      </c>
      <c r="H65" s="192">
        <v>99.3</v>
      </c>
      <c r="I65" s="133">
        <v>24.8</v>
      </c>
      <c r="J65" s="134">
        <v>97.8</v>
      </c>
    </row>
    <row r="66" spans="1:10" ht="15.75" customHeight="1" thickBot="1">
      <c r="A66" s="183" t="s">
        <v>243</v>
      </c>
      <c r="B66" s="322">
        <v>99.3</v>
      </c>
      <c r="C66" s="218">
        <v>29</v>
      </c>
      <c r="D66" s="218">
        <v>97.7</v>
      </c>
      <c r="E66" s="218">
        <v>99.5</v>
      </c>
      <c r="F66" s="218">
        <v>49.7</v>
      </c>
      <c r="G66" s="255">
        <v>99</v>
      </c>
      <c r="H66" s="256">
        <v>99.4</v>
      </c>
      <c r="I66" s="218">
        <v>37.9</v>
      </c>
      <c r="J66" s="257">
        <v>98.5</v>
      </c>
    </row>
    <row r="67" spans="1:10" ht="15.75" customHeight="1" thickTop="1">
      <c r="A67" s="236" t="s">
        <v>244</v>
      </c>
      <c r="B67" s="237" t="s">
        <v>153</v>
      </c>
      <c r="C67" s="232" t="s">
        <v>153</v>
      </c>
      <c r="D67" s="232" t="s">
        <v>153</v>
      </c>
      <c r="E67" s="232" t="s">
        <v>153</v>
      </c>
      <c r="F67" s="232" t="s">
        <v>153</v>
      </c>
      <c r="G67" s="1784" t="s">
        <v>153</v>
      </c>
      <c r="H67" s="254" t="s">
        <v>153</v>
      </c>
      <c r="I67" s="232" t="s">
        <v>153</v>
      </c>
      <c r="J67" s="310" t="s">
        <v>153</v>
      </c>
    </row>
    <row r="68" spans="1:10" ht="15.75" customHeight="1">
      <c r="A68" s="320" t="s">
        <v>245</v>
      </c>
      <c r="B68" s="469">
        <f>AVERAGE(B5:B66)</f>
        <v>99.257741935483864</v>
      </c>
      <c r="C68" s="421">
        <f t="shared" ref="C68:J68" si="0">AVERAGE(C5:C66)</f>
        <v>31.932903225806449</v>
      </c>
      <c r="D68" s="421">
        <f t="shared" si="0"/>
        <v>97.816129032258061</v>
      </c>
      <c r="E68" s="421">
        <f t="shared" si="0"/>
        <v>99.408225806451625</v>
      </c>
      <c r="F68" s="421">
        <f t="shared" si="0"/>
        <v>29.203709677419354</v>
      </c>
      <c r="G68" s="1797">
        <f t="shared" si="0"/>
        <v>97.892580645161303</v>
      </c>
      <c r="H68" s="906">
        <f t="shared" si="0"/>
        <v>99.370161290322542</v>
      </c>
      <c r="I68" s="907">
        <f t="shared" si="0"/>
        <v>29.75322580645161</v>
      </c>
      <c r="J68" s="896">
        <f t="shared" si="0"/>
        <v>97.939838709677431</v>
      </c>
    </row>
    <row r="69" spans="1:10">
      <c r="A69" s="442" t="s">
        <v>246</v>
      </c>
      <c r="B69" s="468"/>
      <c r="C69" s="468"/>
      <c r="D69" s="468"/>
      <c r="E69" s="468"/>
      <c r="F69" s="468"/>
      <c r="G69" s="468"/>
      <c r="H69" s="468"/>
      <c r="I69" s="468"/>
      <c r="J69" s="468"/>
    </row>
    <row r="131" spans="2:10" ht="27" customHeight="1">
      <c r="B131" s="1959"/>
      <c r="C131" s="1959"/>
      <c r="D131" s="1959"/>
      <c r="E131" s="1959"/>
      <c r="F131" s="1959"/>
      <c r="G131" s="1959"/>
      <c r="H131" s="1959"/>
      <c r="I131" s="1959"/>
      <c r="J131" s="1959"/>
    </row>
  </sheetData>
  <customSheetViews>
    <customSheetView guid="{CFB8F6A3-286B-44DA-98E2-E06FA9DC17D9}" showGridLines="0">
      <pane xSplit="1" ySplit="6" topLeftCell="B7" activePane="bottomRight" state="frozen"/>
      <selection pane="bottomRight" activeCell="D14" sqref="D14"/>
      <colBreaks count="1" manualBreakCount="1">
        <brk id="10" max="1048575" man="1"/>
      </colBreaks>
      <pageMargins left="0" right="0" top="0" bottom="0" header="0" footer="0"/>
      <pageSetup paperSize="9" scale="80" firstPageNumber="12" orientation="portrait" useFirstPageNumber="1" r:id="rId1"/>
      <headerFooter alignWithMargins="0"/>
    </customSheetView>
    <customSheetView guid="{429188B7-F8E8-41E0-BAA6-8F869C883D4F}" scale="90" showGridLines="0">
      <pane xSplit="1" ySplit="6" topLeftCell="B7" activePane="bottomRight" state="frozen"/>
      <selection pane="bottomRight" activeCell="A2" sqref="A2"/>
      <pageMargins left="0" right="0" top="0" bottom="0" header="0" footer="0"/>
      <pageSetup paperSize="8" firstPageNumber="12" orientation="portrait" r:id="rId2"/>
      <headerFooter alignWithMargins="0">
        <oddHeader xml:space="preserve">&amp;L&amp;"ＭＳ Ｐゴシック,太字"&amp;16ⅴ　市税徴収率
（平成30年度）&amp;"ＭＳ Ｐゴシック,標準"&amp;11
</oddHeader>
      </headerFooter>
    </customSheetView>
  </customSheetViews>
  <mergeCells count="13">
    <mergeCell ref="B131:J131"/>
    <mergeCell ref="B1:D1"/>
    <mergeCell ref="E1:G1"/>
    <mergeCell ref="H1:J1"/>
    <mergeCell ref="D2:D3"/>
    <mergeCell ref="J2:J3"/>
    <mergeCell ref="G2:G3"/>
    <mergeCell ref="B2:B3"/>
    <mergeCell ref="C2:C3"/>
    <mergeCell ref="E2:E3"/>
    <mergeCell ref="F2:F3"/>
    <mergeCell ref="H2:H3"/>
    <mergeCell ref="I2:I3"/>
  </mergeCells>
  <phoneticPr fontId="2"/>
  <dataValidations count="1">
    <dataValidation imeMode="disabled" allowBlank="1" showInputMessage="1" showErrorMessage="1" sqref="B5:J66" xr:uid="{00000000-0002-0000-0D00-000000000000}"/>
  </dataValidations>
  <pageMargins left="0.74803149606299213" right="0.23622047244094491" top="1.1417322834645669" bottom="0.39370078740157483" header="0.59055118110236227" footer="0.31496062992125984"/>
  <pageSetup paperSize="9" scale="71" firstPageNumber="12" orientation="portrait" r:id="rId3"/>
  <headerFooter alignWithMargins="0">
    <oddHeader xml:space="preserve">&amp;L&amp;"ＭＳ Ｐゴシック,太字"&amp;16ⅴ　市税徴収率
（令和４年度）&amp;"ＭＳ Ｐゴシック,標準"&amp;11
</oddHeader>
  </headerFooter>
  <rowBreaks count="1" manualBreakCount="1">
    <brk id="69" max="9" man="1"/>
  </rowBreak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0"/>
  </sheetPr>
  <dimension ref="A1:AI93"/>
  <sheetViews>
    <sheetView view="pageBreakPreview" zoomScale="90" zoomScaleNormal="100" zoomScaleSheetLayoutView="90" workbookViewId="0">
      <selection activeCell="A63" sqref="A63"/>
    </sheetView>
  </sheetViews>
  <sheetFormatPr defaultColWidth="8.88671875" defaultRowHeight="13.2"/>
  <cols>
    <col min="1" max="1" width="20.77734375" style="330" customWidth="1"/>
    <col min="2" max="2" width="11.21875" customWidth="1"/>
    <col min="3" max="3" width="62.44140625" customWidth="1"/>
    <col min="4" max="4" width="8.77734375" style="332" customWidth="1"/>
    <col min="28" max="28" width="9.77734375" customWidth="1"/>
  </cols>
  <sheetData>
    <row r="1" spans="1:35" s="332" customFormat="1" ht="20.25" customHeight="1" thickTop="1" thickBot="1">
      <c r="A1" s="2271" t="s">
        <v>677</v>
      </c>
      <c r="B1" s="2272"/>
      <c r="C1" s="2272"/>
      <c r="D1" s="2273"/>
      <c r="E1" s="344"/>
    </row>
    <row r="2" spans="1:35" ht="9" customHeight="1" thickTop="1">
      <c r="C2" s="331"/>
      <c r="D2" s="390"/>
    </row>
    <row r="3" spans="1:35" ht="18" customHeight="1">
      <c r="A3" s="30" t="s">
        <v>678</v>
      </c>
      <c r="B3" s="31" t="s">
        <v>679</v>
      </c>
      <c r="C3" s="31" t="s">
        <v>680</v>
      </c>
      <c r="D3" s="31" t="s">
        <v>681</v>
      </c>
    </row>
    <row r="4" spans="1:35" ht="19.5" customHeight="1">
      <c r="A4" s="209">
        <v>37655</v>
      </c>
      <c r="B4" s="210" t="s">
        <v>228</v>
      </c>
      <c r="C4" s="211" t="s">
        <v>682</v>
      </c>
      <c r="D4" s="210" t="s">
        <v>683</v>
      </c>
      <c r="E4" s="95"/>
    </row>
    <row r="5" spans="1:35" ht="19.5" customHeight="1">
      <c r="A5" s="209">
        <v>37712</v>
      </c>
      <c r="B5" s="210" t="s">
        <v>227</v>
      </c>
      <c r="C5" s="211" t="s">
        <v>684</v>
      </c>
      <c r="D5" s="210" t="s">
        <v>685</v>
      </c>
      <c r="E5" s="95"/>
    </row>
    <row r="6" spans="1:35" ht="19.5" customHeight="1">
      <c r="A6" s="209">
        <v>38078</v>
      </c>
      <c r="B6" s="210" t="s">
        <v>227</v>
      </c>
      <c r="C6" s="211" t="s">
        <v>686</v>
      </c>
      <c r="D6" s="210" t="s">
        <v>685</v>
      </c>
      <c r="E6" s="95"/>
    </row>
    <row r="7" spans="1:35" ht="19.5" customHeight="1">
      <c r="A7" s="2269">
        <v>38292</v>
      </c>
      <c r="B7" s="210" t="s">
        <v>687</v>
      </c>
      <c r="C7" s="211" t="s">
        <v>688</v>
      </c>
      <c r="D7" s="210" t="s">
        <v>683</v>
      </c>
      <c r="E7" s="95"/>
    </row>
    <row r="8" spans="1:35" ht="19.5" customHeight="1">
      <c r="A8" s="2270"/>
      <c r="B8" s="210" t="s">
        <v>241</v>
      </c>
      <c r="C8" s="211" t="s">
        <v>689</v>
      </c>
      <c r="D8" s="210" t="s">
        <v>683</v>
      </c>
      <c r="E8" s="95"/>
    </row>
    <row r="9" spans="1:35" ht="19.5" customHeight="1">
      <c r="A9" s="209">
        <v>38322</v>
      </c>
      <c r="B9" s="210" t="s">
        <v>147</v>
      </c>
      <c r="C9" s="211" t="s">
        <v>690</v>
      </c>
      <c r="D9" s="210" t="s">
        <v>683</v>
      </c>
      <c r="E9" s="95"/>
    </row>
    <row r="10" spans="1:35" ht="19.5" customHeight="1">
      <c r="A10" s="213">
        <v>38326</v>
      </c>
      <c r="B10" s="210" t="s">
        <v>691</v>
      </c>
      <c r="C10" s="211" t="s">
        <v>692</v>
      </c>
      <c r="D10" s="210" t="s">
        <v>685</v>
      </c>
      <c r="E10" s="95"/>
      <c r="AH10" s="333"/>
      <c r="AI10" s="333"/>
    </row>
    <row r="11" spans="1:35" ht="19.5" customHeight="1">
      <c r="A11" s="2269">
        <v>38353</v>
      </c>
      <c r="B11" s="210" t="s">
        <v>193</v>
      </c>
      <c r="C11" s="211" t="s">
        <v>693</v>
      </c>
      <c r="D11" s="210" t="s">
        <v>683</v>
      </c>
      <c r="E11" s="95"/>
      <c r="AH11" s="333"/>
      <c r="AI11" s="333"/>
    </row>
    <row r="12" spans="1:35" ht="19.5" customHeight="1">
      <c r="A12" s="2274"/>
      <c r="B12" s="210" t="s">
        <v>231</v>
      </c>
      <c r="C12" s="211" t="s">
        <v>694</v>
      </c>
      <c r="D12" s="210" t="s">
        <v>683</v>
      </c>
      <c r="E12" s="214"/>
      <c r="F12" s="326"/>
      <c r="G12" s="326"/>
      <c r="H12" s="326"/>
      <c r="I12" s="326"/>
      <c r="J12" s="326"/>
      <c r="K12" s="326"/>
      <c r="L12" s="326"/>
      <c r="M12" s="326"/>
      <c r="N12" s="326"/>
      <c r="O12" s="326"/>
      <c r="P12" s="326"/>
      <c r="R12" s="326"/>
      <c r="S12" s="326"/>
      <c r="V12" s="326"/>
      <c r="W12" s="326"/>
      <c r="X12" s="326"/>
      <c r="Y12" s="326"/>
      <c r="Z12" s="326"/>
      <c r="AA12" s="326"/>
      <c r="AB12" s="326"/>
      <c r="AC12" s="326"/>
      <c r="AD12" s="326"/>
      <c r="AE12" s="326"/>
      <c r="AF12" s="326"/>
      <c r="AG12" s="326"/>
      <c r="AH12" s="343"/>
      <c r="AI12" s="333"/>
    </row>
    <row r="13" spans="1:35" ht="19.5" customHeight="1">
      <c r="A13" s="2274"/>
      <c r="B13" s="210" t="s">
        <v>232</v>
      </c>
      <c r="C13" s="211" t="s">
        <v>695</v>
      </c>
      <c r="D13" s="210" t="s">
        <v>683</v>
      </c>
      <c r="E13" s="95"/>
      <c r="Z13" s="333"/>
      <c r="AA13" s="333"/>
      <c r="AC13" s="333"/>
      <c r="AD13" s="333"/>
      <c r="AE13" s="333"/>
    </row>
    <row r="14" spans="1:35" ht="19.5" customHeight="1">
      <c r="A14" s="2275"/>
      <c r="B14" s="210" t="s">
        <v>238</v>
      </c>
      <c r="C14" s="211" t="s">
        <v>696</v>
      </c>
      <c r="D14" s="210" t="s">
        <v>683</v>
      </c>
      <c r="E14" s="95"/>
    </row>
    <row r="15" spans="1:35" ht="19.5" customHeight="1">
      <c r="A15" s="209">
        <v>38356</v>
      </c>
      <c r="B15" s="210" t="s">
        <v>236</v>
      </c>
      <c r="C15" s="211" t="s">
        <v>697</v>
      </c>
      <c r="D15" s="210" t="s">
        <v>683</v>
      </c>
      <c r="E15" s="95"/>
    </row>
    <row r="16" spans="1:35" ht="19.5" customHeight="1">
      <c r="A16" s="209">
        <v>38363</v>
      </c>
      <c r="B16" s="210" t="s">
        <v>155</v>
      </c>
      <c r="C16" s="211" t="s">
        <v>698</v>
      </c>
      <c r="D16" s="210" t="s">
        <v>683</v>
      </c>
      <c r="E16" s="95"/>
      <c r="G16" s="27"/>
    </row>
    <row r="17" spans="1:5" ht="19.5" customHeight="1">
      <c r="A17" s="213">
        <v>38384</v>
      </c>
      <c r="B17" s="210" t="s">
        <v>162</v>
      </c>
      <c r="C17" s="211" t="s">
        <v>699</v>
      </c>
      <c r="D17" s="210" t="s">
        <v>683</v>
      </c>
      <c r="E17" s="95"/>
    </row>
    <row r="18" spans="1:5" ht="19.5" customHeight="1">
      <c r="A18" s="215"/>
      <c r="B18" s="210" t="s">
        <v>228</v>
      </c>
      <c r="C18" s="211" t="s">
        <v>700</v>
      </c>
      <c r="D18" s="210" t="s">
        <v>683</v>
      </c>
      <c r="E18" s="95"/>
    </row>
    <row r="19" spans="1:5" ht="19.5" customHeight="1">
      <c r="A19" s="209">
        <v>38388</v>
      </c>
      <c r="B19" s="210" t="s">
        <v>234</v>
      </c>
      <c r="C19" s="211" t="s">
        <v>701</v>
      </c>
      <c r="D19" s="210" t="s">
        <v>683</v>
      </c>
      <c r="E19" s="95"/>
    </row>
    <row r="20" spans="1:5" ht="19.5" customHeight="1">
      <c r="A20" s="209">
        <v>38396</v>
      </c>
      <c r="B20" s="210" t="s">
        <v>229</v>
      </c>
      <c r="C20" s="211" t="s">
        <v>702</v>
      </c>
      <c r="D20" s="210" t="s">
        <v>703</v>
      </c>
      <c r="E20" s="95"/>
    </row>
    <row r="21" spans="1:5" ht="19.5" customHeight="1">
      <c r="A21" s="209">
        <v>38431</v>
      </c>
      <c r="B21" s="210" t="s">
        <v>227</v>
      </c>
      <c r="C21" s="211" t="s">
        <v>704</v>
      </c>
      <c r="D21" s="210" t="s">
        <v>685</v>
      </c>
      <c r="E21" s="95"/>
    </row>
    <row r="22" spans="1:5" ht="19.5" customHeight="1">
      <c r="A22" s="209">
        <v>38439</v>
      </c>
      <c r="B22" s="210" t="s">
        <v>182</v>
      </c>
      <c r="C22" s="211" t="s">
        <v>705</v>
      </c>
      <c r="D22" s="210" t="s">
        <v>683</v>
      </c>
      <c r="E22" s="95"/>
    </row>
    <row r="23" spans="1:5" ht="19.5" customHeight="1">
      <c r="A23" s="2269">
        <v>38442</v>
      </c>
      <c r="B23" s="210" t="s">
        <v>706</v>
      </c>
      <c r="C23" s="211" t="s">
        <v>707</v>
      </c>
      <c r="D23" s="210" t="s">
        <v>683</v>
      </c>
      <c r="E23" s="95"/>
    </row>
    <row r="24" spans="1:5" ht="19.5" customHeight="1">
      <c r="A24" s="2270"/>
      <c r="B24" s="210" t="s">
        <v>708</v>
      </c>
      <c r="C24" s="211" t="s">
        <v>709</v>
      </c>
      <c r="D24" s="210" t="s">
        <v>710</v>
      </c>
      <c r="E24" s="95"/>
    </row>
    <row r="25" spans="1:5" ht="19.5" customHeight="1">
      <c r="A25" s="2269">
        <v>38443</v>
      </c>
      <c r="B25" s="210" t="s">
        <v>150</v>
      </c>
      <c r="C25" s="211" t="s">
        <v>711</v>
      </c>
      <c r="D25" s="210" t="s">
        <v>703</v>
      </c>
      <c r="E25" s="95"/>
    </row>
    <row r="26" spans="1:5" ht="19.5" customHeight="1">
      <c r="A26" s="2278"/>
      <c r="B26" s="210" t="s">
        <v>187</v>
      </c>
      <c r="C26" s="211" t="s">
        <v>712</v>
      </c>
      <c r="D26" s="210" t="s">
        <v>703</v>
      </c>
      <c r="E26" s="95"/>
    </row>
    <row r="27" spans="1:5" ht="19.5" customHeight="1">
      <c r="A27" s="2278"/>
      <c r="B27" s="210" t="s">
        <v>359</v>
      </c>
      <c r="C27" s="211" t="s">
        <v>713</v>
      </c>
      <c r="D27" s="210" t="s">
        <v>683</v>
      </c>
      <c r="E27" s="95"/>
    </row>
    <row r="28" spans="1:5" ht="19.5" customHeight="1">
      <c r="A28" s="2278"/>
      <c r="B28" s="210" t="s">
        <v>714</v>
      </c>
      <c r="C28" s="211" t="s">
        <v>715</v>
      </c>
      <c r="D28" s="210" t="s">
        <v>683</v>
      </c>
      <c r="E28" s="95"/>
    </row>
    <row r="29" spans="1:5" ht="19.5" customHeight="1">
      <c r="A29" s="2278"/>
      <c r="B29" s="210" t="s">
        <v>201</v>
      </c>
      <c r="C29" s="211" t="s">
        <v>716</v>
      </c>
      <c r="D29" s="210" t="s">
        <v>683</v>
      </c>
      <c r="E29" s="95"/>
    </row>
    <row r="30" spans="1:5" ht="19.5" customHeight="1">
      <c r="A30" s="2278"/>
      <c r="B30" s="210" t="s">
        <v>221</v>
      </c>
      <c r="C30" s="211" t="s">
        <v>717</v>
      </c>
      <c r="D30" s="210" t="s">
        <v>683</v>
      </c>
      <c r="E30" s="95"/>
    </row>
    <row r="31" spans="1:5" ht="19.5" customHeight="1">
      <c r="A31" s="2279"/>
      <c r="B31" s="210" t="s">
        <v>237</v>
      </c>
      <c r="C31" s="211" t="s">
        <v>718</v>
      </c>
      <c r="D31" s="210" t="s">
        <v>683</v>
      </c>
      <c r="E31" s="95"/>
    </row>
    <row r="32" spans="1:5" ht="19.5" customHeight="1">
      <c r="A32" s="209">
        <v>38565</v>
      </c>
      <c r="B32" s="210" t="s">
        <v>226</v>
      </c>
      <c r="C32" s="211" t="s">
        <v>719</v>
      </c>
      <c r="D32" s="210" t="s">
        <v>683</v>
      </c>
      <c r="E32" s="95"/>
    </row>
    <row r="33" spans="1:5" ht="19.5" customHeight="1">
      <c r="A33" s="209">
        <v>38621</v>
      </c>
      <c r="B33" s="210" t="s">
        <v>230</v>
      </c>
      <c r="C33" s="211" t="s">
        <v>720</v>
      </c>
      <c r="D33" s="210" t="s">
        <v>683</v>
      </c>
      <c r="E33" s="95"/>
    </row>
    <row r="34" spans="1:5" ht="19.5" customHeight="1">
      <c r="A34" s="2269">
        <v>38718</v>
      </c>
      <c r="B34" s="210" t="s">
        <v>198</v>
      </c>
      <c r="C34" s="211" t="s">
        <v>721</v>
      </c>
      <c r="D34" s="210" t="s">
        <v>683</v>
      </c>
      <c r="E34" s="95"/>
    </row>
    <row r="35" spans="1:5" ht="19.5" customHeight="1">
      <c r="A35" s="2274"/>
      <c r="B35" s="210" t="s">
        <v>196</v>
      </c>
      <c r="C35" s="211" t="s">
        <v>722</v>
      </c>
      <c r="D35" s="210" t="s">
        <v>683</v>
      </c>
      <c r="E35" s="95"/>
    </row>
    <row r="36" spans="1:5" ht="19.5" customHeight="1">
      <c r="A36" s="2275"/>
      <c r="B36" s="210" t="s">
        <v>239</v>
      </c>
      <c r="C36" s="211" t="s">
        <v>723</v>
      </c>
      <c r="D36" s="210" t="s">
        <v>683</v>
      </c>
      <c r="E36" s="95"/>
    </row>
    <row r="37" spans="1:5" ht="19.5" customHeight="1">
      <c r="A37" s="209">
        <v>38721</v>
      </c>
      <c r="B37" s="210" t="s">
        <v>236</v>
      </c>
      <c r="C37" s="211" t="s">
        <v>724</v>
      </c>
      <c r="D37" s="210" t="s">
        <v>683</v>
      </c>
      <c r="E37" s="95"/>
    </row>
    <row r="38" spans="1:5" ht="19.5" customHeight="1">
      <c r="A38" s="2276">
        <v>38727</v>
      </c>
      <c r="B38" s="210" t="s">
        <v>230</v>
      </c>
      <c r="C38" s="211" t="s">
        <v>725</v>
      </c>
      <c r="D38" s="210" t="s">
        <v>683</v>
      </c>
      <c r="E38" s="95"/>
    </row>
    <row r="39" spans="1:5" ht="19.5" customHeight="1">
      <c r="A39" s="2277"/>
      <c r="B39" s="210" t="s">
        <v>726</v>
      </c>
      <c r="C39" s="211" t="s">
        <v>727</v>
      </c>
      <c r="D39" s="210" t="s">
        <v>685</v>
      </c>
      <c r="E39" s="95"/>
    </row>
    <row r="40" spans="1:5" ht="19.5" customHeight="1">
      <c r="A40" s="215">
        <v>38740</v>
      </c>
      <c r="B40" s="216" t="s">
        <v>728</v>
      </c>
      <c r="C40" s="217" t="s">
        <v>729</v>
      </c>
      <c r="D40" s="216" t="s">
        <v>683</v>
      </c>
      <c r="E40" s="95"/>
    </row>
    <row r="41" spans="1:5" ht="19.5" customHeight="1">
      <c r="A41" s="209">
        <v>38749</v>
      </c>
      <c r="B41" s="210" t="s">
        <v>190</v>
      </c>
      <c r="C41" s="211" t="s">
        <v>730</v>
      </c>
      <c r="D41" s="210" t="s">
        <v>683</v>
      </c>
      <c r="E41" s="95"/>
    </row>
    <row r="42" spans="1:5" ht="19.5" customHeight="1">
      <c r="A42" s="2269">
        <v>38777</v>
      </c>
      <c r="B42" s="210" t="s">
        <v>192</v>
      </c>
      <c r="C42" s="211" t="s">
        <v>731</v>
      </c>
      <c r="D42" s="210" t="s">
        <v>683</v>
      </c>
      <c r="E42" s="95"/>
    </row>
    <row r="43" spans="1:5" ht="19.5" customHeight="1">
      <c r="A43" s="2270"/>
      <c r="B43" s="210" t="s">
        <v>732</v>
      </c>
      <c r="C43" s="211" t="s">
        <v>733</v>
      </c>
      <c r="D43" s="210" t="s">
        <v>683</v>
      </c>
      <c r="E43" s="95"/>
    </row>
    <row r="44" spans="1:5" ht="19.5" customHeight="1">
      <c r="A44" s="213">
        <v>38796</v>
      </c>
      <c r="B44" s="210" t="s">
        <v>203</v>
      </c>
      <c r="C44" s="211" t="s">
        <v>734</v>
      </c>
      <c r="D44" s="210" t="s">
        <v>685</v>
      </c>
      <c r="E44" s="95"/>
    </row>
    <row r="45" spans="1:5" ht="19.5" customHeight="1">
      <c r="A45" s="209">
        <v>38803</v>
      </c>
      <c r="B45" s="210" t="s">
        <v>735</v>
      </c>
      <c r="C45" s="211" t="s">
        <v>736</v>
      </c>
      <c r="D45" s="210" t="s">
        <v>683</v>
      </c>
      <c r="E45" s="95"/>
    </row>
    <row r="46" spans="1:5" ht="19.5" customHeight="1">
      <c r="A46" s="209">
        <v>38807</v>
      </c>
      <c r="B46" s="210" t="s">
        <v>237</v>
      </c>
      <c r="C46" s="211" t="s">
        <v>737</v>
      </c>
      <c r="D46" s="210" t="s">
        <v>683</v>
      </c>
      <c r="E46" s="95"/>
    </row>
    <row r="47" spans="1:5" ht="19.5" customHeight="1">
      <c r="A47" s="209">
        <v>38991</v>
      </c>
      <c r="B47" s="210" t="s">
        <v>728</v>
      </c>
      <c r="C47" s="211" t="s">
        <v>738</v>
      </c>
      <c r="D47" s="210" t="s">
        <v>683</v>
      </c>
      <c r="E47" s="95"/>
    </row>
    <row r="48" spans="1:5" ht="19.5" customHeight="1">
      <c r="A48" s="209">
        <v>39172</v>
      </c>
      <c r="B48" s="210" t="s">
        <v>739</v>
      </c>
      <c r="C48" s="211" t="s">
        <v>740</v>
      </c>
      <c r="D48" s="210" t="s">
        <v>683</v>
      </c>
      <c r="E48" s="95"/>
    </row>
    <row r="49" spans="1:5" ht="19.5" customHeight="1">
      <c r="A49" s="209">
        <v>39448</v>
      </c>
      <c r="B49" s="210" t="s">
        <v>741</v>
      </c>
      <c r="C49" s="211" t="s">
        <v>742</v>
      </c>
      <c r="D49" s="210" t="s">
        <v>683</v>
      </c>
      <c r="E49" s="95"/>
    </row>
    <row r="50" spans="1:5" ht="19.5" customHeight="1">
      <c r="A50" s="209">
        <v>39630</v>
      </c>
      <c r="B50" s="210" t="s">
        <v>157</v>
      </c>
      <c r="C50" s="211" t="s">
        <v>743</v>
      </c>
      <c r="D50" s="210" t="s">
        <v>683</v>
      </c>
      <c r="E50" s="95"/>
    </row>
    <row r="51" spans="1:5" ht="19.5" customHeight="1">
      <c r="A51" s="209">
        <v>39938</v>
      </c>
      <c r="B51" s="210" t="s">
        <v>166</v>
      </c>
      <c r="C51" s="212" t="s">
        <v>744</v>
      </c>
      <c r="D51" s="210" t="s">
        <v>683</v>
      </c>
      <c r="E51" s="95"/>
    </row>
    <row r="52" spans="1:5" ht="19.5" customHeight="1">
      <c r="A52" s="209">
        <v>39965</v>
      </c>
      <c r="B52" s="210" t="s">
        <v>728</v>
      </c>
      <c r="C52" s="212" t="s">
        <v>745</v>
      </c>
      <c r="D52" s="210" t="s">
        <v>683</v>
      </c>
      <c r="E52" s="95"/>
    </row>
    <row r="53" spans="1:5" ht="19.5" customHeight="1">
      <c r="A53" s="209">
        <v>40179</v>
      </c>
      <c r="B53" s="210" t="s">
        <v>746</v>
      </c>
      <c r="C53" s="212" t="s">
        <v>747</v>
      </c>
      <c r="D53" s="210" t="s">
        <v>685</v>
      </c>
      <c r="E53" s="95"/>
    </row>
    <row r="54" spans="1:5" ht="19.5" customHeight="1">
      <c r="A54" s="213">
        <v>40260</v>
      </c>
      <c r="B54" s="210" t="s">
        <v>748</v>
      </c>
      <c r="C54" s="212" t="s">
        <v>749</v>
      </c>
      <c r="D54" s="210" t="s">
        <v>685</v>
      </c>
      <c r="E54" s="95"/>
    </row>
    <row r="55" spans="1:5" ht="19.5" customHeight="1">
      <c r="A55" s="2269">
        <v>40268</v>
      </c>
      <c r="B55" s="210" t="s">
        <v>359</v>
      </c>
      <c r="C55" s="211" t="s">
        <v>750</v>
      </c>
      <c r="D55" s="210" t="s">
        <v>685</v>
      </c>
    </row>
    <row r="56" spans="1:5" ht="19.5" customHeight="1">
      <c r="A56" s="2279"/>
      <c r="B56" s="210" t="s">
        <v>237</v>
      </c>
      <c r="C56" s="211" t="s">
        <v>751</v>
      </c>
      <c r="D56" s="210" t="s">
        <v>685</v>
      </c>
    </row>
    <row r="57" spans="1:5" ht="19.5" customHeight="1">
      <c r="A57" s="209">
        <v>40756</v>
      </c>
      <c r="B57" s="210" t="s">
        <v>752</v>
      </c>
      <c r="C57" s="211" t="s">
        <v>753</v>
      </c>
      <c r="D57" s="210" t="s">
        <v>685</v>
      </c>
    </row>
    <row r="58" spans="1:5" ht="19.5" customHeight="1">
      <c r="A58" s="209">
        <v>40827</v>
      </c>
      <c r="B58" s="210" t="s">
        <v>754</v>
      </c>
      <c r="C58" s="211" t="s">
        <v>755</v>
      </c>
      <c r="D58" s="210" t="s">
        <v>685</v>
      </c>
    </row>
    <row r="59" spans="1:5" ht="15.75" customHeight="1">
      <c r="A59" s="388"/>
    </row>
    <row r="60" spans="1:5" ht="6" customHeight="1" thickBot="1"/>
    <row r="61" spans="1:5" ht="17.399999999999999" thickTop="1" thickBot="1">
      <c r="A61" s="2271" t="s">
        <v>756</v>
      </c>
      <c r="B61" s="2272"/>
      <c r="C61" s="2272"/>
      <c r="D61" s="2273"/>
    </row>
    <row r="62" spans="1:5" ht="8.25" customHeight="1" thickTop="1"/>
    <row r="63" spans="1:5" s="332" customFormat="1" ht="21.3" customHeight="1">
      <c r="A63" s="30" t="s">
        <v>757</v>
      </c>
      <c r="B63" s="59" t="s">
        <v>758</v>
      </c>
      <c r="C63" s="2267" t="s">
        <v>759</v>
      </c>
      <c r="D63" s="2267"/>
    </row>
    <row r="64" spans="1:5" ht="37.5" customHeight="1">
      <c r="A64" s="59">
        <v>35156</v>
      </c>
      <c r="B64" s="60">
        <v>12</v>
      </c>
      <c r="C64" s="2268" t="s">
        <v>760</v>
      </c>
      <c r="D64" s="2268"/>
    </row>
    <row r="65" spans="1:4" ht="26.25" customHeight="1">
      <c r="A65" s="59">
        <v>35521</v>
      </c>
      <c r="B65" s="60">
        <v>17</v>
      </c>
      <c r="C65" s="2268" t="s">
        <v>761</v>
      </c>
      <c r="D65" s="2268"/>
    </row>
    <row r="66" spans="1:4" ht="26.25" customHeight="1">
      <c r="A66" s="59">
        <v>35886</v>
      </c>
      <c r="B66" s="60">
        <v>21</v>
      </c>
      <c r="C66" s="2268" t="s">
        <v>762</v>
      </c>
      <c r="D66" s="2268"/>
    </row>
    <row r="67" spans="1:4" ht="26.25" customHeight="1">
      <c r="A67" s="59">
        <v>36251</v>
      </c>
      <c r="B67" s="60">
        <v>25</v>
      </c>
      <c r="C67" s="2268" t="s">
        <v>763</v>
      </c>
      <c r="D67" s="2268"/>
    </row>
    <row r="68" spans="1:4" ht="26.25" customHeight="1">
      <c r="A68" s="59">
        <v>36617</v>
      </c>
      <c r="B68" s="60">
        <v>27</v>
      </c>
      <c r="C68" s="2268" t="s">
        <v>764</v>
      </c>
      <c r="D68" s="2268"/>
    </row>
    <row r="69" spans="1:4" ht="26.25" customHeight="1">
      <c r="A69" s="59">
        <v>36982</v>
      </c>
      <c r="B69" s="60">
        <v>28</v>
      </c>
      <c r="C69" s="2268" t="s">
        <v>765</v>
      </c>
      <c r="D69" s="2268"/>
    </row>
    <row r="70" spans="1:4" ht="26.25" customHeight="1">
      <c r="A70" s="59">
        <v>37347</v>
      </c>
      <c r="B70" s="60">
        <v>30</v>
      </c>
      <c r="C70" s="2268" t="s">
        <v>766</v>
      </c>
      <c r="D70" s="2268"/>
    </row>
    <row r="71" spans="1:4" ht="26.25" customHeight="1">
      <c r="A71" s="59">
        <v>37712</v>
      </c>
      <c r="B71" s="60">
        <v>35</v>
      </c>
      <c r="C71" s="2268" t="s">
        <v>767</v>
      </c>
      <c r="D71" s="2268"/>
    </row>
    <row r="72" spans="1:4" ht="26.25" customHeight="1">
      <c r="A72" s="59">
        <v>38443</v>
      </c>
      <c r="B72" s="60">
        <v>35</v>
      </c>
      <c r="C72" s="2268" t="s">
        <v>768</v>
      </c>
      <c r="D72" s="2268"/>
    </row>
    <row r="73" spans="1:4" ht="26.25" customHeight="1">
      <c r="A73" s="59">
        <v>38626</v>
      </c>
      <c r="B73" s="60">
        <v>37</v>
      </c>
      <c r="C73" s="2268" t="s">
        <v>769</v>
      </c>
      <c r="D73" s="2268"/>
    </row>
    <row r="74" spans="1:4" ht="26.25" customHeight="1">
      <c r="A74" s="59">
        <v>38808</v>
      </c>
      <c r="B74" s="60">
        <v>36</v>
      </c>
      <c r="C74" s="2268" t="s">
        <v>770</v>
      </c>
      <c r="D74" s="2268"/>
    </row>
    <row r="75" spans="1:4" ht="26.25" customHeight="1">
      <c r="A75" s="59">
        <v>38991</v>
      </c>
      <c r="B75" s="60">
        <v>37</v>
      </c>
      <c r="C75" s="2268" t="s">
        <v>771</v>
      </c>
      <c r="D75" s="2268"/>
    </row>
    <row r="76" spans="1:4" ht="26.25" customHeight="1">
      <c r="A76" s="59">
        <v>39173</v>
      </c>
      <c r="B76" s="60">
        <v>35</v>
      </c>
      <c r="C76" s="2268" t="s">
        <v>772</v>
      </c>
      <c r="D76" s="2268"/>
    </row>
    <row r="77" spans="1:4" ht="26.25" customHeight="1">
      <c r="A77" s="59">
        <v>39539</v>
      </c>
      <c r="B77" s="60">
        <v>39</v>
      </c>
      <c r="C77" s="2268" t="s">
        <v>773</v>
      </c>
      <c r="D77" s="2268"/>
    </row>
    <row r="78" spans="1:4" ht="26.25" customHeight="1">
      <c r="A78" s="59">
        <v>39904</v>
      </c>
      <c r="B78" s="60">
        <v>41</v>
      </c>
      <c r="C78" s="345" t="s">
        <v>774</v>
      </c>
      <c r="D78" s="391"/>
    </row>
    <row r="79" spans="1:4" ht="26.25" customHeight="1">
      <c r="A79" s="59">
        <v>40269</v>
      </c>
      <c r="B79" s="60">
        <v>40</v>
      </c>
      <c r="C79" s="345" t="s">
        <v>775</v>
      </c>
      <c r="D79" s="391"/>
    </row>
    <row r="80" spans="1:4" ht="26.25" customHeight="1">
      <c r="A80" s="59">
        <v>40634</v>
      </c>
      <c r="B80" s="60">
        <v>41</v>
      </c>
      <c r="C80" s="346" t="s">
        <v>776</v>
      </c>
      <c r="D80" s="391"/>
    </row>
    <row r="81" spans="1:5" ht="26.25" customHeight="1">
      <c r="A81" s="59">
        <v>41000</v>
      </c>
      <c r="B81" s="60">
        <v>41</v>
      </c>
      <c r="C81" s="346" t="s">
        <v>777</v>
      </c>
      <c r="D81" s="391"/>
    </row>
    <row r="82" spans="1:5" ht="26.25" customHeight="1">
      <c r="A82" s="59">
        <v>41365</v>
      </c>
      <c r="B82" s="60">
        <v>42</v>
      </c>
      <c r="C82" s="346" t="s">
        <v>778</v>
      </c>
      <c r="D82" s="391"/>
    </row>
    <row r="83" spans="1:5" ht="26.25" customHeight="1">
      <c r="A83" s="59">
        <v>41730</v>
      </c>
      <c r="B83" s="60">
        <v>43</v>
      </c>
      <c r="C83" s="346" t="s">
        <v>779</v>
      </c>
      <c r="D83" s="391"/>
    </row>
    <row r="84" spans="1:5" ht="26.25" customHeight="1">
      <c r="A84" s="59">
        <v>42095</v>
      </c>
      <c r="B84" s="60">
        <v>45</v>
      </c>
      <c r="C84" s="346" t="s">
        <v>780</v>
      </c>
      <c r="D84" s="391"/>
    </row>
    <row r="85" spans="1:5" ht="26.25" customHeight="1">
      <c r="A85" s="59">
        <v>42461</v>
      </c>
      <c r="B85" s="60">
        <v>47</v>
      </c>
      <c r="C85" s="346" t="s">
        <v>781</v>
      </c>
      <c r="D85" s="391"/>
    </row>
    <row r="86" spans="1:5" ht="26.25" customHeight="1">
      <c r="A86" s="59">
        <v>42736</v>
      </c>
      <c r="B86" s="60">
        <v>48</v>
      </c>
      <c r="C86" s="346" t="s">
        <v>782</v>
      </c>
      <c r="D86" s="391"/>
    </row>
    <row r="87" spans="1:5" ht="26.25" customHeight="1">
      <c r="A87" s="59">
        <v>43191</v>
      </c>
      <c r="B87" s="60">
        <v>54</v>
      </c>
      <c r="C87" s="346" t="s">
        <v>783</v>
      </c>
      <c r="D87" s="391"/>
    </row>
    <row r="88" spans="1:5" ht="26.25" customHeight="1">
      <c r="A88" s="59">
        <v>43556</v>
      </c>
      <c r="B88" s="60">
        <v>58</v>
      </c>
      <c r="C88" s="346" t="s">
        <v>784</v>
      </c>
      <c r="D88" s="391"/>
    </row>
    <row r="89" spans="1:5" ht="26.25" customHeight="1">
      <c r="A89" s="59">
        <v>43922</v>
      </c>
      <c r="B89" s="60">
        <v>60</v>
      </c>
      <c r="C89" s="346" t="s">
        <v>785</v>
      </c>
      <c r="D89" s="391"/>
    </row>
    <row r="90" spans="1:5" ht="26.25" customHeight="1">
      <c r="A90" s="59">
        <v>44287</v>
      </c>
      <c r="B90" s="60">
        <v>62</v>
      </c>
      <c r="C90" s="346" t="s">
        <v>786</v>
      </c>
      <c r="D90" s="391"/>
    </row>
    <row r="91" spans="1:5" ht="21" customHeight="1">
      <c r="A91" s="386"/>
      <c r="B91" s="387"/>
    </row>
    <row r="92" spans="1:5" ht="21" customHeight="1">
      <c r="A92" s="1959"/>
      <c r="B92" s="1959"/>
      <c r="C92" s="1959"/>
      <c r="D92" s="1959"/>
      <c r="E92" s="1959"/>
    </row>
    <row r="93" spans="1:5">
      <c r="A93" s="1959"/>
      <c r="B93" s="1959"/>
      <c r="C93" s="1959"/>
      <c r="D93" s="1959"/>
      <c r="E93" s="1959"/>
    </row>
  </sheetData>
  <dataConsolidate/>
  <customSheetViews>
    <customSheetView guid="{429188B7-F8E8-41E0-BAA6-8F869C883D4F}" topLeftCell="A10">
      <selection activeCell="A2" sqref="A2"/>
      <rowBreaks count="1" manualBreakCount="1">
        <brk id="57" max="3" man="1"/>
      </rowBreaks>
      <pageMargins left="0" right="0" top="0" bottom="0" header="0" footer="0"/>
      <pageSetup paperSize="8" scale="99" fitToHeight="0" orientation="portrait" r:id="rId1"/>
      <headerFooter alignWithMargins="0"/>
    </customSheetView>
  </customSheetViews>
  <mergeCells count="26">
    <mergeCell ref="A42:A43"/>
    <mergeCell ref="A61:D61"/>
    <mergeCell ref="A1:D1"/>
    <mergeCell ref="A11:A14"/>
    <mergeCell ref="A34:A36"/>
    <mergeCell ref="A38:A39"/>
    <mergeCell ref="A7:A8"/>
    <mergeCell ref="A23:A24"/>
    <mergeCell ref="A25:A31"/>
    <mergeCell ref="A55:A56"/>
    <mergeCell ref="C63:D63"/>
    <mergeCell ref="C77:D77"/>
    <mergeCell ref="A92:E93"/>
    <mergeCell ref="C71:D71"/>
    <mergeCell ref="C72:D72"/>
    <mergeCell ref="C73:D73"/>
    <mergeCell ref="C74:D74"/>
    <mergeCell ref="C75:D75"/>
    <mergeCell ref="C76:D76"/>
    <mergeCell ref="C64:D64"/>
    <mergeCell ref="C65:D65"/>
    <mergeCell ref="C66:D66"/>
    <mergeCell ref="C69:D69"/>
    <mergeCell ref="C70:D70"/>
    <mergeCell ref="C67:D67"/>
    <mergeCell ref="C68:D68"/>
  </mergeCells>
  <phoneticPr fontId="2"/>
  <pageMargins left="0.74803149606299213" right="0.74803149606299213" top="0.9055118110236221" bottom="0.47244094488188981" header="0.51181102362204722" footer="0.27559055118110237"/>
  <pageSetup paperSize="9" scale="70" fitToHeight="2" orientation="portrait" r:id="rId2"/>
  <headerFooter alignWithMargins="0"/>
  <rowBreaks count="1" manualBreakCount="1">
    <brk id="60"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theme="0" tint="-0.14999847407452621"/>
    <pageSetUpPr fitToPage="1"/>
  </sheetPr>
  <dimension ref="A1:O86"/>
  <sheetViews>
    <sheetView view="pageBreakPreview" topLeftCell="A7" zoomScaleNormal="100" zoomScaleSheetLayoutView="100" workbookViewId="0">
      <selection activeCell="C41" sqref="C41"/>
    </sheetView>
  </sheetViews>
  <sheetFormatPr defaultColWidth="13" defaultRowHeight="13.2"/>
  <cols>
    <col min="1" max="1" width="15" style="944" customWidth="1"/>
    <col min="2" max="2" width="31.109375" style="944" customWidth="1"/>
    <col min="3" max="3" width="89.21875" style="944" customWidth="1"/>
    <col min="4" max="16384" width="13" style="944"/>
  </cols>
  <sheetData>
    <row r="1" spans="1:3" ht="19.5" customHeight="1">
      <c r="A1" s="943"/>
      <c r="B1" s="943"/>
      <c r="C1" s="943"/>
    </row>
    <row r="2" spans="1:3" ht="22.5" customHeight="1">
      <c r="A2" s="1811" t="s">
        <v>4</v>
      </c>
      <c r="B2" s="1812"/>
      <c r="C2" s="1812"/>
    </row>
    <row r="3" spans="1:3" ht="22.5" customHeight="1">
      <c r="A3" s="945"/>
      <c r="B3" s="946"/>
      <c r="C3" s="946"/>
    </row>
    <row r="4" spans="1:3" ht="22.5" customHeight="1">
      <c r="A4" s="943" t="s">
        <v>5</v>
      </c>
      <c r="B4" s="943"/>
      <c r="C4" s="943"/>
    </row>
    <row r="5" spans="1:3" ht="7.5" customHeight="1">
      <c r="A5" s="943"/>
      <c r="B5" s="943"/>
      <c r="C5" s="943"/>
    </row>
    <row r="6" spans="1:3" ht="22.5" customHeight="1">
      <c r="A6" s="947" t="s">
        <v>6</v>
      </c>
      <c r="B6" s="943"/>
      <c r="C6" s="943"/>
    </row>
    <row r="7" spans="1:3" ht="7.5" customHeight="1">
      <c r="A7" s="947"/>
      <c r="B7" s="943"/>
      <c r="C7" s="943"/>
    </row>
    <row r="8" spans="1:3" ht="22.5" customHeight="1">
      <c r="A8" s="947" t="s">
        <v>7</v>
      </c>
      <c r="B8" s="943"/>
      <c r="C8" s="943"/>
    </row>
    <row r="9" spans="1:3" ht="7.5" customHeight="1">
      <c r="A9" s="947"/>
      <c r="B9" s="943"/>
      <c r="C9" s="943"/>
    </row>
    <row r="10" spans="1:3" ht="22.5" customHeight="1">
      <c r="A10" s="947" t="s">
        <v>8</v>
      </c>
      <c r="B10" s="943"/>
      <c r="C10" s="943"/>
    </row>
    <row r="11" spans="1:3" ht="22.5" customHeight="1">
      <c r="A11" s="943" t="s">
        <v>9</v>
      </c>
      <c r="B11" s="943"/>
      <c r="C11" s="943"/>
    </row>
    <row r="12" spans="1:3" ht="22.5" customHeight="1">
      <c r="A12" s="943" t="s">
        <v>10</v>
      </c>
      <c r="B12" s="943"/>
      <c r="C12" s="943"/>
    </row>
    <row r="13" spans="1:3" ht="22.5" customHeight="1">
      <c r="A13" s="943" t="s">
        <v>11</v>
      </c>
      <c r="B13" s="943"/>
      <c r="C13" s="943"/>
    </row>
    <row r="14" spans="1:3" ht="22.5" customHeight="1">
      <c r="A14" s="943"/>
      <c r="B14" s="943"/>
      <c r="C14" s="943"/>
    </row>
    <row r="15" spans="1:3" ht="22.5" customHeight="1">
      <c r="A15" s="948" t="s">
        <v>12</v>
      </c>
      <c r="B15" s="949" t="s">
        <v>13</v>
      </c>
      <c r="C15" s="950" t="s">
        <v>14</v>
      </c>
    </row>
    <row r="16" spans="1:3" ht="22.5" customHeight="1">
      <c r="A16" s="1804" t="s">
        <v>15</v>
      </c>
      <c r="B16" s="951" t="s">
        <v>16</v>
      </c>
      <c r="C16" s="1809" t="s">
        <v>17</v>
      </c>
    </row>
    <row r="17" spans="1:3" ht="22.5" customHeight="1">
      <c r="A17" s="1805"/>
      <c r="B17" s="953" t="s">
        <v>18</v>
      </c>
      <c r="C17" s="1810"/>
    </row>
    <row r="18" spans="1:3" ht="45" customHeight="1">
      <c r="A18" s="1805"/>
      <c r="B18" s="954" t="s">
        <v>19</v>
      </c>
      <c r="C18" s="1810"/>
    </row>
    <row r="19" spans="1:3" ht="51" customHeight="1">
      <c r="A19" s="1805"/>
      <c r="B19" s="955" t="s">
        <v>20</v>
      </c>
      <c r="C19" s="482" t="s">
        <v>21</v>
      </c>
    </row>
    <row r="20" spans="1:3" ht="22.5" customHeight="1">
      <c r="A20" s="1806"/>
      <c r="B20" s="956" t="s">
        <v>22</v>
      </c>
      <c r="C20" s="957" t="s">
        <v>23</v>
      </c>
    </row>
    <row r="21" spans="1:3" ht="118.5" customHeight="1">
      <c r="A21" s="958" t="s">
        <v>24</v>
      </c>
      <c r="B21" s="959" t="s">
        <v>25</v>
      </c>
      <c r="C21" s="952" t="s">
        <v>26</v>
      </c>
    </row>
    <row r="22" spans="1:3" ht="22.5" customHeight="1">
      <c r="A22" s="1804" t="s">
        <v>27</v>
      </c>
      <c r="B22" s="960" t="s">
        <v>28</v>
      </c>
      <c r="C22" s="961" t="s">
        <v>29</v>
      </c>
    </row>
    <row r="23" spans="1:3" ht="148.5" customHeight="1">
      <c r="A23" s="1805"/>
      <c r="B23" s="962" t="s">
        <v>30</v>
      </c>
      <c r="C23" s="963" t="s">
        <v>31</v>
      </c>
    </row>
    <row r="24" spans="1:3" ht="67.5" customHeight="1">
      <c r="A24" s="1805"/>
      <c r="B24" s="964" t="s">
        <v>32</v>
      </c>
      <c r="C24" s="965" t="s">
        <v>33</v>
      </c>
    </row>
    <row r="25" spans="1:3" ht="83.25" customHeight="1">
      <c r="A25" s="1805"/>
      <c r="B25" s="964" t="s">
        <v>34</v>
      </c>
      <c r="C25" s="963" t="s">
        <v>35</v>
      </c>
    </row>
    <row r="26" spans="1:3" ht="120.75" customHeight="1">
      <c r="A26" s="1805"/>
      <c r="B26" s="955" t="s">
        <v>36</v>
      </c>
      <c r="C26" s="483" t="s">
        <v>37</v>
      </c>
    </row>
    <row r="27" spans="1:3" ht="45" customHeight="1">
      <c r="A27" s="1805"/>
      <c r="B27" s="966" t="s">
        <v>38</v>
      </c>
      <c r="C27" s="483" t="s">
        <v>39</v>
      </c>
    </row>
    <row r="28" spans="1:3" ht="229.5" customHeight="1">
      <c r="A28" s="1806"/>
      <c r="B28" s="967" t="s">
        <v>40</v>
      </c>
      <c r="C28" s="484" t="s">
        <v>41</v>
      </c>
    </row>
    <row r="29" spans="1:3" ht="111" customHeight="1">
      <c r="A29" s="1804" t="s">
        <v>42</v>
      </c>
      <c r="B29" s="1807" t="s">
        <v>43</v>
      </c>
      <c r="C29" s="952" t="s">
        <v>44</v>
      </c>
    </row>
    <row r="30" spans="1:3" ht="45" customHeight="1">
      <c r="A30" s="1806"/>
      <c r="B30" s="1808"/>
      <c r="C30" s="957" t="s">
        <v>45</v>
      </c>
    </row>
    <row r="31" spans="1:3" ht="45" customHeight="1">
      <c r="A31" s="1801" t="s">
        <v>46</v>
      </c>
      <c r="B31" s="968" t="s">
        <v>47</v>
      </c>
      <c r="C31" s="969" t="s">
        <v>48</v>
      </c>
    </row>
    <row r="32" spans="1:3" ht="45" customHeight="1">
      <c r="A32" s="1802"/>
      <c r="B32" s="955" t="s">
        <v>49</v>
      </c>
      <c r="C32" s="969" t="s">
        <v>48</v>
      </c>
    </row>
    <row r="33" spans="1:15" ht="22.5" customHeight="1">
      <c r="A33" s="1802"/>
      <c r="B33" s="955" t="s">
        <v>50</v>
      </c>
      <c r="C33" s="970" t="s">
        <v>51</v>
      </c>
    </row>
    <row r="34" spans="1:15" ht="53.25" customHeight="1">
      <c r="A34" s="1802"/>
      <c r="B34" s="955" t="s">
        <v>52</v>
      </c>
      <c r="C34" s="483" t="s">
        <v>53</v>
      </c>
    </row>
    <row r="35" spans="1:15" ht="22.5" customHeight="1">
      <c r="A35" s="1802"/>
      <c r="B35" s="955" t="s">
        <v>54</v>
      </c>
      <c r="C35" s="971" t="s">
        <v>55</v>
      </c>
    </row>
    <row r="36" spans="1:15" ht="35.25" customHeight="1">
      <c r="A36" s="1802"/>
      <c r="B36" s="972" t="s">
        <v>56</v>
      </c>
      <c r="C36" s="483" t="s">
        <v>57</v>
      </c>
    </row>
    <row r="37" spans="1:15" ht="49.5" customHeight="1">
      <c r="A37" s="1803"/>
      <c r="B37" s="973" t="s">
        <v>58</v>
      </c>
      <c r="C37" s="974" t="s">
        <v>59</v>
      </c>
    </row>
    <row r="38" spans="1:15" ht="60.75" customHeight="1">
      <c r="A38" s="1804" t="s">
        <v>60</v>
      </c>
      <c r="B38" s="975" t="s">
        <v>61</v>
      </c>
      <c r="C38" s="969" t="s">
        <v>62</v>
      </c>
      <c r="O38" s="976"/>
    </row>
    <row r="39" spans="1:15" ht="23.25" customHeight="1">
      <c r="A39" s="1805"/>
      <c r="B39" s="977" t="s">
        <v>63</v>
      </c>
      <c r="C39" s="970" t="s">
        <v>64</v>
      </c>
    </row>
    <row r="40" spans="1:15" ht="23.25" customHeight="1">
      <c r="A40" s="1805"/>
      <c r="B40" s="977" t="s">
        <v>65</v>
      </c>
      <c r="C40" s="970" t="s">
        <v>66</v>
      </c>
    </row>
    <row r="41" spans="1:15" ht="183.75" customHeight="1">
      <c r="A41" s="1805"/>
      <c r="B41" s="977" t="s">
        <v>67</v>
      </c>
      <c r="C41" s="482" t="s">
        <v>68</v>
      </c>
    </row>
    <row r="42" spans="1:15" ht="67.5" customHeight="1">
      <c r="A42" s="1806"/>
      <c r="B42" s="978" t="s">
        <v>69</v>
      </c>
      <c r="C42" s="979" t="s">
        <v>70</v>
      </c>
    </row>
    <row r="43" spans="1:15" ht="222.75" customHeight="1">
      <c r="A43" s="1804" t="s">
        <v>71</v>
      </c>
      <c r="B43" s="980" t="s">
        <v>72</v>
      </c>
      <c r="C43" s="485" t="s">
        <v>73</v>
      </c>
    </row>
    <row r="44" spans="1:15" ht="42.75" customHeight="1">
      <c r="A44" s="1805"/>
      <c r="B44" s="981" t="s">
        <v>74</v>
      </c>
      <c r="C44" s="982" t="s">
        <v>75</v>
      </c>
    </row>
    <row r="45" spans="1:15" ht="54" customHeight="1">
      <c r="A45" s="1805"/>
      <c r="B45" s="983" t="s">
        <v>76</v>
      </c>
      <c r="C45" s="984" t="s">
        <v>77</v>
      </c>
    </row>
    <row r="46" spans="1:15" ht="45" customHeight="1">
      <c r="A46" s="1805"/>
      <c r="B46" s="985" t="s">
        <v>78</v>
      </c>
      <c r="C46" s="483" t="s">
        <v>79</v>
      </c>
    </row>
    <row r="47" spans="1:15" ht="74.25" customHeight="1">
      <c r="A47" s="1805"/>
      <c r="B47" s="986" t="s">
        <v>80</v>
      </c>
      <c r="C47" s="485" t="s">
        <v>81</v>
      </c>
    </row>
    <row r="48" spans="1:15" ht="112.5" customHeight="1">
      <c r="A48" s="1806"/>
      <c r="B48" s="987" t="s">
        <v>82</v>
      </c>
      <c r="C48" s="988" t="s">
        <v>83</v>
      </c>
    </row>
    <row r="49" spans="1:3" ht="45" customHeight="1">
      <c r="A49" s="1813" t="s">
        <v>84</v>
      </c>
      <c r="B49" s="989" t="s">
        <v>85</v>
      </c>
      <c r="C49" s="990" t="s">
        <v>86</v>
      </c>
    </row>
    <row r="50" spans="1:3" ht="45" customHeight="1">
      <c r="A50" s="1814"/>
      <c r="B50" s="991" t="s">
        <v>87</v>
      </c>
      <c r="C50" s="484" t="s">
        <v>88</v>
      </c>
    </row>
    <row r="52" spans="1:3">
      <c r="C52" s="976"/>
    </row>
    <row r="53" spans="1:3">
      <c r="C53" s="976"/>
    </row>
    <row r="54" spans="1:3">
      <c r="C54" s="976"/>
    </row>
    <row r="85" spans="1:3" ht="21.75" customHeight="1">
      <c r="A85" s="1800"/>
      <c r="B85" s="1800"/>
      <c r="C85" s="1800"/>
    </row>
    <row r="86" spans="1:3" ht="18" customHeight="1">
      <c r="A86" s="992"/>
      <c r="B86" s="992"/>
      <c r="C86" s="992"/>
    </row>
  </sheetData>
  <customSheetViews>
    <customSheetView guid="{CFB8F6A3-286B-44DA-98E2-E06FA9DC17D9}" showPageBreaks="1" printArea="1" view="pageBreakPreview" topLeftCell="A7">
      <selection activeCell="C8" sqref="C8"/>
      <rowBreaks count="1" manualBreakCount="1">
        <brk id="38" max="2" man="1"/>
      </rowBreaks>
      <pageMargins left="0" right="0" top="0" bottom="0" header="0" footer="0"/>
      <pageSetup paperSize="9" scale="80" orientation="portrait" r:id="rId1"/>
      <headerFooter alignWithMargins="0"/>
    </customSheetView>
    <customSheetView guid="{429188B7-F8E8-41E0-BAA6-8F869C883D4F}">
      <selection activeCell="A6" sqref="A6"/>
      <rowBreaks count="1" manualBreakCount="1">
        <brk id="41" max="2" man="1"/>
      </rowBreaks>
      <pageMargins left="0" right="0" top="0" bottom="0" header="0" footer="0"/>
      <pageSetup paperSize="8" orientation="portrait" r:id="rId2"/>
      <headerFooter alignWithMargins="0"/>
    </customSheetView>
  </customSheetViews>
  <mergeCells count="11">
    <mergeCell ref="A16:A20"/>
    <mergeCell ref="C16:C18"/>
    <mergeCell ref="A22:A28"/>
    <mergeCell ref="A2:C2"/>
    <mergeCell ref="A49:A50"/>
    <mergeCell ref="A85:C85"/>
    <mergeCell ref="A31:A37"/>
    <mergeCell ref="A38:A42"/>
    <mergeCell ref="A43:A48"/>
    <mergeCell ref="A29:A30"/>
    <mergeCell ref="B29:B30"/>
  </mergeCells>
  <phoneticPr fontId="2"/>
  <printOptions horizontalCentered="1"/>
  <pageMargins left="0.74803149606299213" right="0.39370078740157483" top="0.78740157480314965" bottom="0.78740157480314965" header="0.23622047244094491" footer="0.31496062992125984"/>
  <pageSetup paperSize="9" scale="68" fitToHeight="3"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2"/>
  <dimension ref="A1:AM76"/>
  <sheetViews>
    <sheetView showGridLines="0" view="pageBreakPreview" zoomScaleNormal="80" zoomScaleSheetLayoutView="100" workbookViewId="0">
      <pane xSplit="1" ySplit="6" topLeftCell="B7" activePane="bottomRight" state="frozen"/>
      <selection pane="topRight" activeCell="J20" sqref="J19:J20"/>
      <selection pane="bottomLeft" activeCell="J20" sqref="J19:J20"/>
      <selection pane="bottomRight" activeCell="AJ36" sqref="AJ36"/>
    </sheetView>
  </sheetViews>
  <sheetFormatPr defaultColWidth="9" defaultRowHeight="14.4"/>
  <cols>
    <col min="1" max="1" width="12.44140625" style="4" customWidth="1"/>
    <col min="2" max="2" width="13" style="370" customWidth="1"/>
    <col min="3" max="3" width="9.109375" style="370" customWidth="1"/>
    <col min="4" max="7" width="9" style="370" customWidth="1"/>
    <col min="8" max="8" width="12.44140625" style="370" customWidth="1"/>
    <col min="9" max="10" width="9.21875" style="370" customWidth="1"/>
    <col min="11" max="11" width="9.77734375" style="370" customWidth="1"/>
    <col min="12" max="14" width="11.6640625" style="370" customWidth="1"/>
    <col min="15" max="15" width="12.5546875" style="370" customWidth="1"/>
    <col min="16" max="16" width="7.44140625" style="370" bestFit="1" customWidth="1"/>
    <col min="17" max="17" width="12.77734375" style="370" bestFit="1" customWidth="1"/>
    <col min="18" max="18" width="12.6640625" style="370" customWidth="1"/>
    <col min="19" max="19" width="10.33203125" style="370" customWidth="1"/>
    <col min="20" max="20" width="12.44140625" style="4" customWidth="1"/>
    <col min="21" max="24" width="12.44140625" style="370" customWidth="1"/>
    <col min="25" max="25" width="13.109375" style="370" customWidth="1"/>
    <col min="26" max="26" width="17.44140625" style="370" customWidth="1"/>
    <col min="27" max="27" width="53.109375" style="370" customWidth="1"/>
    <col min="28" max="30" width="21.44140625" style="370" customWidth="1"/>
    <col min="31" max="35" width="15" style="370" customWidth="1"/>
    <col min="36" max="36" width="15" style="62" customWidth="1"/>
    <col min="37" max="38" width="9.6640625" style="370" customWidth="1"/>
    <col min="39" max="16384" width="9" style="370"/>
  </cols>
  <sheetData>
    <row r="1" spans="1:38" s="5" customFormat="1" ht="19.2">
      <c r="A1" s="1" t="s">
        <v>89</v>
      </c>
      <c r="F1" s="6"/>
      <c r="T1" s="1"/>
      <c r="AJ1" s="6"/>
    </row>
    <row r="2" spans="1:38" ht="18.75" customHeight="1">
      <c r="A2" s="3"/>
      <c r="B2" s="2"/>
      <c r="C2" s="2"/>
      <c r="F2" s="1838"/>
      <c r="G2" s="1839"/>
      <c r="H2" s="1839"/>
      <c r="I2" s="1839"/>
      <c r="J2" s="1839"/>
      <c r="L2" s="56"/>
      <c r="P2" s="2"/>
      <c r="S2" s="65"/>
      <c r="T2" s="3"/>
      <c r="AI2" s="2"/>
      <c r="AJ2" s="61"/>
      <c r="AK2" s="2"/>
      <c r="AL2" s="2"/>
    </row>
    <row r="3" spans="1:38" s="4" customFormat="1" ht="16.5" customHeight="1">
      <c r="A3" s="850" t="s">
        <v>90</v>
      </c>
      <c r="B3" s="1857" t="s">
        <v>91</v>
      </c>
      <c r="C3" s="993"/>
      <c r="D3" s="994"/>
      <c r="E3" s="994"/>
      <c r="F3" s="994"/>
      <c r="G3" s="995"/>
      <c r="H3" s="1853" t="s">
        <v>92</v>
      </c>
      <c r="I3" s="1841"/>
      <c r="J3" s="1841"/>
      <c r="K3" s="1854"/>
      <c r="L3" s="1840" t="s">
        <v>93</v>
      </c>
      <c r="M3" s="1841"/>
      <c r="N3" s="1842"/>
      <c r="O3" s="996" t="s">
        <v>94</v>
      </c>
      <c r="P3" s="994"/>
      <c r="Q3" s="1849" t="s">
        <v>95</v>
      </c>
      <c r="R3" s="1849" t="s">
        <v>96</v>
      </c>
      <c r="S3" s="1844" t="s">
        <v>97</v>
      </c>
      <c r="T3" s="1850" t="s">
        <v>98</v>
      </c>
      <c r="U3" s="1843" t="s">
        <v>99</v>
      </c>
      <c r="V3" s="1841"/>
      <c r="W3" s="1841"/>
      <c r="X3" s="1842"/>
      <c r="Y3" s="1815" t="s">
        <v>100</v>
      </c>
      <c r="Z3" s="1825" t="s">
        <v>101</v>
      </c>
      <c r="AA3" s="1836" t="s">
        <v>102</v>
      </c>
      <c r="AB3" s="1822"/>
      <c r="AC3" s="1822"/>
      <c r="AD3" s="1837"/>
      <c r="AE3" s="1829" t="s">
        <v>103</v>
      </c>
      <c r="AF3" s="1821" t="s">
        <v>104</v>
      </c>
      <c r="AG3" s="1822"/>
      <c r="AH3" s="1823"/>
      <c r="AI3" s="997" t="s">
        <v>105</v>
      </c>
      <c r="AJ3" s="998" t="s">
        <v>106</v>
      </c>
    </row>
    <row r="4" spans="1:38" s="4" customFormat="1" ht="16.5" customHeight="1">
      <c r="A4" s="852"/>
      <c r="B4" s="1858"/>
      <c r="C4" s="1000" t="s">
        <v>107</v>
      </c>
      <c r="D4" s="1001" t="s">
        <v>108</v>
      </c>
      <c r="E4" s="1001" t="s">
        <v>109</v>
      </c>
      <c r="F4" s="1002" t="s">
        <v>110</v>
      </c>
      <c r="G4" s="1000" t="s">
        <v>111</v>
      </c>
      <c r="H4" s="1412"/>
      <c r="I4" s="1861" t="s">
        <v>112</v>
      </c>
      <c r="J4" s="1824" t="s">
        <v>113</v>
      </c>
      <c r="K4" s="1846" t="s">
        <v>114</v>
      </c>
      <c r="L4" s="1003"/>
      <c r="M4" s="1861" t="s">
        <v>115</v>
      </c>
      <c r="N4" s="1824" t="s">
        <v>116</v>
      </c>
      <c r="O4" s="1004"/>
      <c r="P4" s="1005" t="s">
        <v>108</v>
      </c>
      <c r="Q4" s="1816"/>
      <c r="R4" s="1816"/>
      <c r="S4" s="1845"/>
      <c r="T4" s="1851"/>
      <c r="U4" s="1818" t="s">
        <v>117</v>
      </c>
      <c r="V4" s="1818" t="s">
        <v>118</v>
      </c>
      <c r="W4" s="1818" t="s">
        <v>119</v>
      </c>
      <c r="X4" s="1818" t="s">
        <v>120</v>
      </c>
      <c r="Y4" s="1816"/>
      <c r="Z4" s="1826"/>
      <c r="AA4" s="1827" t="s">
        <v>121</v>
      </c>
      <c r="AB4" s="1834" t="s">
        <v>122</v>
      </c>
      <c r="AC4" s="1834" t="s">
        <v>123</v>
      </c>
      <c r="AD4" s="1832" t="s">
        <v>124</v>
      </c>
      <c r="AE4" s="1830"/>
      <c r="AF4" s="1824" t="s">
        <v>125</v>
      </c>
      <c r="AG4" s="1824" t="s">
        <v>16</v>
      </c>
      <c r="AH4" s="1824" t="s">
        <v>126</v>
      </c>
      <c r="AI4" s="1413" t="s">
        <v>127</v>
      </c>
      <c r="AJ4" s="1414" t="s">
        <v>127</v>
      </c>
    </row>
    <row r="5" spans="1:38" s="4" customFormat="1" ht="16.5" customHeight="1">
      <c r="A5" s="852"/>
      <c r="B5" s="1859"/>
      <c r="C5" s="1007" t="s">
        <v>128</v>
      </c>
      <c r="D5" s="1008" t="s">
        <v>129</v>
      </c>
      <c r="E5" s="1009" t="s">
        <v>130</v>
      </c>
      <c r="F5" s="1009" t="s">
        <v>130</v>
      </c>
      <c r="G5" s="1009" t="s">
        <v>130</v>
      </c>
      <c r="H5" s="1009" t="s">
        <v>131</v>
      </c>
      <c r="I5" s="1862"/>
      <c r="J5" s="1863"/>
      <c r="K5" s="1847"/>
      <c r="L5" s="1010" t="s">
        <v>132</v>
      </c>
      <c r="M5" s="1862"/>
      <c r="N5" s="1863"/>
      <c r="O5" s="1011"/>
      <c r="P5" s="1012" t="s">
        <v>129</v>
      </c>
      <c r="Q5" s="1817"/>
      <c r="R5" s="1817"/>
      <c r="S5" s="1845"/>
      <c r="T5" s="1852"/>
      <c r="U5" s="1820"/>
      <c r="V5" s="1819"/>
      <c r="W5" s="1820"/>
      <c r="X5" s="1820"/>
      <c r="Y5" s="1817"/>
      <c r="Z5" s="1826"/>
      <c r="AA5" s="1828"/>
      <c r="AB5" s="1835"/>
      <c r="AC5" s="1835"/>
      <c r="AD5" s="1833"/>
      <c r="AE5" s="1831"/>
      <c r="AF5" s="1819"/>
      <c r="AG5" s="1819"/>
      <c r="AH5" s="1819"/>
      <c r="AI5" s="1013" t="s">
        <v>133</v>
      </c>
      <c r="AJ5" s="1014" t="s">
        <v>133</v>
      </c>
    </row>
    <row r="6" spans="1:38" ht="16.5" customHeight="1">
      <c r="A6" s="853" t="s">
        <v>134</v>
      </c>
      <c r="B6" s="857" t="s">
        <v>135</v>
      </c>
      <c r="C6" s="854" t="s">
        <v>136</v>
      </c>
      <c r="D6" s="493" t="s">
        <v>137</v>
      </c>
      <c r="E6" s="493" t="s">
        <v>137</v>
      </c>
      <c r="F6" s="493" t="s">
        <v>137</v>
      </c>
      <c r="G6" s="493" t="s">
        <v>137</v>
      </c>
      <c r="H6" s="493" t="s">
        <v>135</v>
      </c>
      <c r="I6" s="493" t="s">
        <v>135</v>
      </c>
      <c r="J6" s="493" t="s">
        <v>135</v>
      </c>
      <c r="K6" s="855"/>
      <c r="L6" s="857" t="s">
        <v>135</v>
      </c>
      <c r="M6" s="493" t="s">
        <v>135</v>
      </c>
      <c r="N6" s="493" t="s">
        <v>135</v>
      </c>
      <c r="O6" s="854" t="s">
        <v>138</v>
      </c>
      <c r="P6" s="1015" t="s">
        <v>137</v>
      </c>
      <c r="Q6" s="493" t="s">
        <v>135</v>
      </c>
      <c r="R6" s="493" t="s">
        <v>139</v>
      </c>
      <c r="S6" s="855" t="s">
        <v>140</v>
      </c>
      <c r="T6" s="857" t="s">
        <v>141</v>
      </c>
      <c r="U6" s="493" t="s">
        <v>141</v>
      </c>
      <c r="V6" s="493" t="s">
        <v>137</v>
      </c>
      <c r="W6" s="493" t="s">
        <v>142</v>
      </c>
      <c r="X6" s="493" t="s">
        <v>141</v>
      </c>
      <c r="Y6" s="493" t="s">
        <v>141</v>
      </c>
      <c r="Z6" s="855" t="s">
        <v>141</v>
      </c>
      <c r="AA6" s="1016" t="s">
        <v>143</v>
      </c>
      <c r="AB6" s="493" t="s">
        <v>144</v>
      </c>
      <c r="AC6" s="493"/>
      <c r="AD6" s="855" t="s">
        <v>144</v>
      </c>
      <c r="AE6" s="857" t="s">
        <v>142</v>
      </c>
      <c r="AF6" s="1017" t="s">
        <v>141</v>
      </c>
      <c r="AG6" s="1018" t="s">
        <v>16</v>
      </c>
      <c r="AH6" s="1019" t="s">
        <v>145</v>
      </c>
      <c r="AI6" s="1018" t="s">
        <v>146</v>
      </c>
      <c r="AJ6" s="1020" t="s">
        <v>146</v>
      </c>
    </row>
    <row r="7" spans="1:38" ht="16.05" customHeight="1">
      <c r="A7" s="1021" t="s">
        <v>147</v>
      </c>
      <c r="B7" s="586">
        <v>242467</v>
      </c>
      <c r="C7" s="649">
        <v>1341</v>
      </c>
      <c r="D7" s="1415">
        <v>-1.5</v>
      </c>
      <c r="E7" s="1415">
        <v>9</v>
      </c>
      <c r="F7" s="1415">
        <v>54.1</v>
      </c>
      <c r="G7" s="1415">
        <v>36.799999999999997</v>
      </c>
      <c r="H7" s="1416">
        <v>-3232</v>
      </c>
      <c r="I7" s="1416">
        <v>1083</v>
      </c>
      <c r="J7" s="1416">
        <v>4315</v>
      </c>
      <c r="K7" s="1417">
        <v>1.1499999999999999</v>
      </c>
      <c r="L7" s="1022">
        <v>-563</v>
      </c>
      <c r="M7" s="1416">
        <v>8374</v>
      </c>
      <c r="N7" s="1416">
        <v>8937</v>
      </c>
      <c r="O7" s="1416">
        <v>139419</v>
      </c>
      <c r="P7" s="1418">
        <v>-0.5</v>
      </c>
      <c r="Q7" s="1416">
        <v>251084</v>
      </c>
      <c r="R7" s="1023">
        <v>102.6</v>
      </c>
      <c r="S7" s="859">
        <v>49</v>
      </c>
      <c r="T7" s="1024">
        <v>677.87</v>
      </c>
      <c r="U7" s="1025">
        <v>47.9</v>
      </c>
      <c r="V7" s="1026">
        <v>89.6</v>
      </c>
      <c r="W7" s="1025">
        <v>4535.7</v>
      </c>
      <c r="X7" s="1026">
        <v>96.7</v>
      </c>
      <c r="Y7" s="1025" t="s">
        <v>148</v>
      </c>
      <c r="Z7" s="1027">
        <v>533.27</v>
      </c>
      <c r="AA7" s="1028">
        <v>43191</v>
      </c>
      <c r="AB7" s="1025">
        <v>2679</v>
      </c>
      <c r="AC7" s="1029">
        <v>4</v>
      </c>
      <c r="AD7" s="1027">
        <v>643</v>
      </c>
      <c r="AE7" s="1030">
        <v>357.7</v>
      </c>
      <c r="AF7" s="1419">
        <v>43.6</v>
      </c>
      <c r="AG7" s="1416">
        <v>216044</v>
      </c>
      <c r="AH7" s="1416">
        <v>4960.8</v>
      </c>
      <c r="AI7" s="1416">
        <v>6</v>
      </c>
      <c r="AJ7" s="1031">
        <v>3</v>
      </c>
    </row>
    <row r="8" spans="1:38" ht="16.05" customHeight="1">
      <c r="A8" s="860" t="s">
        <v>149</v>
      </c>
      <c r="B8" s="1032">
        <v>322527</v>
      </c>
      <c r="C8" s="1033">
        <v>1318</v>
      </c>
      <c r="D8" s="1420">
        <v>-1.1000000000000001</v>
      </c>
      <c r="E8" s="1420">
        <v>10.199999999999999</v>
      </c>
      <c r="F8" s="1420">
        <v>54.8</v>
      </c>
      <c r="G8" s="1420">
        <v>35</v>
      </c>
      <c r="H8" s="1421">
        <f t="shared" ref="H8" si="0">I8-J8</f>
        <v>-3460</v>
      </c>
      <c r="I8" s="1421">
        <v>1624</v>
      </c>
      <c r="J8" s="1421">
        <v>5084</v>
      </c>
      <c r="K8" s="1422">
        <v>1.26</v>
      </c>
      <c r="L8" s="1032">
        <f t="shared" ref="L8" si="1">M8-N8</f>
        <v>-320</v>
      </c>
      <c r="M8" s="1421">
        <v>10048</v>
      </c>
      <c r="N8" s="1421">
        <v>10368</v>
      </c>
      <c r="O8" s="1421">
        <v>177474</v>
      </c>
      <c r="P8" s="1423">
        <v>-0.1</v>
      </c>
      <c r="Q8" s="1421">
        <v>329306</v>
      </c>
      <c r="R8" s="1036">
        <v>100.6</v>
      </c>
      <c r="S8" s="1424">
        <v>56</v>
      </c>
      <c r="T8" s="1037">
        <v>747.66</v>
      </c>
      <c r="U8" s="1420">
        <v>79.599999999999994</v>
      </c>
      <c r="V8" s="1038">
        <v>96.6</v>
      </c>
      <c r="W8" s="1425">
        <v>3997.2</v>
      </c>
      <c r="X8" s="1038">
        <v>218.4</v>
      </c>
      <c r="Y8" s="1420">
        <v>0</v>
      </c>
      <c r="Z8" s="1426">
        <v>449.7</v>
      </c>
      <c r="AA8" s="514">
        <v>43374</v>
      </c>
      <c r="AB8" s="1420">
        <v>3190</v>
      </c>
      <c r="AC8" s="1427">
        <v>2</v>
      </c>
      <c r="AD8" s="1426">
        <v>386</v>
      </c>
      <c r="AE8" s="604">
        <v>431</v>
      </c>
      <c r="AF8" s="1428">
        <v>81.650000000000006</v>
      </c>
      <c r="AG8" s="1421">
        <v>306545</v>
      </c>
      <c r="AH8" s="1421">
        <v>3754</v>
      </c>
      <c r="AI8" s="1421">
        <v>5</v>
      </c>
      <c r="AJ8" s="1039">
        <v>1</v>
      </c>
    </row>
    <row r="9" spans="1:38" ht="16.05" customHeight="1">
      <c r="A9" s="1021" t="s">
        <v>150</v>
      </c>
      <c r="B9" s="553">
        <v>269095</v>
      </c>
      <c r="C9" s="561">
        <v>1098</v>
      </c>
      <c r="D9" s="1429">
        <v>-1.34</v>
      </c>
      <c r="E9" s="1429">
        <v>10.29</v>
      </c>
      <c r="F9" s="1429">
        <v>57.03</v>
      </c>
      <c r="G9" s="1429">
        <v>32.69</v>
      </c>
      <c r="H9" s="1430">
        <v>-2740</v>
      </c>
      <c r="I9" s="1430">
        <v>1357</v>
      </c>
      <c r="J9" s="1430">
        <v>4097</v>
      </c>
      <c r="K9" s="1417">
        <v>1.31</v>
      </c>
      <c r="L9" s="553">
        <v>-815</v>
      </c>
      <c r="M9" s="1430">
        <v>7144</v>
      </c>
      <c r="N9" s="1430">
        <v>7959</v>
      </c>
      <c r="O9" s="1430">
        <v>136490</v>
      </c>
      <c r="P9" s="1411">
        <v>-0.21</v>
      </c>
      <c r="Q9" s="1430">
        <v>275192</v>
      </c>
      <c r="R9" s="703">
        <v>101.35106</v>
      </c>
      <c r="S9" s="1431">
        <v>69.3</v>
      </c>
      <c r="T9" s="704">
        <v>824.61</v>
      </c>
      <c r="U9" s="1429">
        <v>50.1</v>
      </c>
      <c r="V9" s="521">
        <v>90.317066205517918</v>
      </c>
      <c r="W9" s="1429">
        <v>4545.1297405189616</v>
      </c>
      <c r="X9" s="521">
        <v>187.6</v>
      </c>
      <c r="Y9" s="1429">
        <v>77.400000000000006</v>
      </c>
      <c r="Z9" s="1432">
        <v>509.4</v>
      </c>
      <c r="AA9" s="1040" t="s">
        <v>151</v>
      </c>
      <c r="AB9" s="1429">
        <v>3387.1</v>
      </c>
      <c r="AC9" s="1433">
        <v>4</v>
      </c>
      <c r="AD9" s="1432">
        <v>361</v>
      </c>
      <c r="AE9" s="554">
        <f>B9/T9</f>
        <v>326.33002267738686</v>
      </c>
      <c r="AF9" s="1434">
        <v>42.3</v>
      </c>
      <c r="AG9" s="1430">
        <v>219275</v>
      </c>
      <c r="AH9" s="1430">
        <v>5183.8</v>
      </c>
      <c r="AI9" s="1430">
        <v>4</v>
      </c>
      <c r="AJ9" s="559">
        <v>3</v>
      </c>
    </row>
    <row r="10" spans="1:38" ht="16.5" customHeight="1">
      <c r="A10" s="860" t="s">
        <v>152</v>
      </c>
      <c r="B10" s="1041">
        <v>219733</v>
      </c>
      <c r="C10" s="1042">
        <v>1389</v>
      </c>
      <c r="D10" s="1435">
        <v>-1.1000000000000001</v>
      </c>
      <c r="E10" s="1435">
        <v>11</v>
      </c>
      <c r="F10" s="1435">
        <v>57.1</v>
      </c>
      <c r="G10" s="1435">
        <v>31.9</v>
      </c>
      <c r="H10" s="1436">
        <f t="shared" ref="H10" si="2">I10-J10</f>
        <v>-1948</v>
      </c>
      <c r="I10" s="1436">
        <v>1234</v>
      </c>
      <c r="J10" s="1436">
        <v>3182</v>
      </c>
      <c r="K10" s="1437">
        <v>1.24</v>
      </c>
      <c r="L10" s="1041">
        <f t="shared" ref="L10" si="3">M10-N10</f>
        <v>-257</v>
      </c>
      <c r="M10" s="1436">
        <v>6830</v>
      </c>
      <c r="N10" s="1436">
        <v>7087</v>
      </c>
      <c r="O10" s="1436">
        <v>110036</v>
      </c>
      <c r="P10" s="1438">
        <v>0.4</v>
      </c>
      <c r="Q10" s="1393">
        <v>223415</v>
      </c>
      <c r="R10" s="1044">
        <v>104.35691</v>
      </c>
      <c r="S10" s="1380">
        <v>60</v>
      </c>
      <c r="T10" s="1045">
        <v>305.56</v>
      </c>
      <c r="U10" s="1435">
        <v>58.4</v>
      </c>
      <c r="V10" s="1046">
        <v>85.5</v>
      </c>
      <c r="W10" s="1435">
        <v>3273.2</v>
      </c>
      <c r="X10" s="1046">
        <v>155.9</v>
      </c>
      <c r="Y10" s="1435" t="s">
        <v>153</v>
      </c>
      <c r="Z10" s="1439">
        <v>91.3</v>
      </c>
      <c r="AA10" s="1047">
        <v>43190</v>
      </c>
      <c r="AB10" s="1435">
        <v>2583</v>
      </c>
      <c r="AC10" s="1440">
        <v>3</v>
      </c>
      <c r="AD10" s="1439">
        <v>232</v>
      </c>
      <c r="AE10" s="1048">
        <f>219733/305.56</f>
        <v>719.11572195313522</v>
      </c>
      <c r="AF10" s="1441">
        <v>50.23</v>
      </c>
      <c r="AG10" s="1436">
        <v>157255</v>
      </c>
      <c r="AH10" s="1436">
        <v>3130.7</v>
      </c>
      <c r="AI10" s="1436">
        <v>2</v>
      </c>
      <c r="AJ10" s="844" t="s">
        <v>153</v>
      </c>
    </row>
    <row r="11" spans="1:38" ht="16.05" customHeight="1">
      <c r="A11" s="1021" t="s">
        <v>154</v>
      </c>
      <c r="B11" s="586">
        <v>281607</v>
      </c>
      <c r="C11" s="649">
        <v>1699</v>
      </c>
      <c r="D11" s="1415">
        <v>1</v>
      </c>
      <c r="E11" s="1415">
        <v>10.8</v>
      </c>
      <c r="F11" s="1415">
        <v>59</v>
      </c>
      <c r="G11" s="1415">
        <v>30.2</v>
      </c>
      <c r="H11" s="1430">
        <f t="shared" ref="H11" si="4">I11-J11</f>
        <v>-1969</v>
      </c>
      <c r="I11" s="1416">
        <v>1701</v>
      </c>
      <c r="J11" s="1416">
        <v>3670</v>
      </c>
      <c r="K11" s="1417">
        <v>1.43</v>
      </c>
      <c r="L11" s="553">
        <f t="shared" ref="L11" si="5">M11-N11</f>
        <v>-341</v>
      </c>
      <c r="M11" s="1416">
        <v>10933</v>
      </c>
      <c r="N11" s="1416">
        <v>11274</v>
      </c>
      <c r="O11" s="1416">
        <v>138184</v>
      </c>
      <c r="P11" s="1418">
        <v>1</v>
      </c>
      <c r="Q11" s="1416">
        <v>289731</v>
      </c>
      <c r="R11" s="1023">
        <v>104.4</v>
      </c>
      <c r="S11" s="1442">
        <v>86.6</v>
      </c>
      <c r="T11" s="704">
        <v>886.47</v>
      </c>
      <c r="U11" s="1415">
        <v>52.3</v>
      </c>
      <c r="V11" s="658">
        <v>86.9</v>
      </c>
      <c r="W11" s="1415">
        <v>4679.1000000000004</v>
      </c>
      <c r="X11" s="658">
        <v>393.4</v>
      </c>
      <c r="Y11" s="1415">
        <v>0</v>
      </c>
      <c r="Z11" s="1443">
        <v>440.77</v>
      </c>
      <c r="AA11" s="1049">
        <v>45016</v>
      </c>
      <c r="AB11" s="1415">
        <v>2253</v>
      </c>
      <c r="AC11" s="1444">
        <v>6</v>
      </c>
      <c r="AD11" s="1443">
        <v>342</v>
      </c>
      <c r="AE11" s="576">
        <v>318</v>
      </c>
      <c r="AF11" s="1419">
        <v>44.87</v>
      </c>
      <c r="AG11" s="1416">
        <v>235450</v>
      </c>
      <c r="AH11" s="1416">
        <v>5247</v>
      </c>
      <c r="AI11" s="1416">
        <v>2</v>
      </c>
      <c r="AJ11" s="1031">
        <v>2</v>
      </c>
    </row>
    <row r="12" spans="1:38" ht="16.05" customHeight="1">
      <c r="A12" s="860" t="s">
        <v>155</v>
      </c>
      <c r="B12" s="1050">
        <v>298587</v>
      </c>
      <c r="C12" s="1445">
        <v>1559</v>
      </c>
      <c r="D12" s="1446">
        <v>-1</v>
      </c>
      <c r="E12" s="1447">
        <v>10.7</v>
      </c>
      <c r="F12" s="1448">
        <v>56.9</v>
      </c>
      <c r="G12" s="1448">
        <v>32.4</v>
      </c>
      <c r="H12" s="1436">
        <f t="shared" ref="H12" si="6">I12-J12</f>
        <v>-2658</v>
      </c>
      <c r="I12" s="1445">
        <v>1588</v>
      </c>
      <c r="J12" s="1449">
        <v>4246</v>
      </c>
      <c r="K12" s="1450">
        <v>1.24</v>
      </c>
      <c r="L12" s="1041">
        <f t="shared" ref="L12" si="7">M12-N12</f>
        <v>-10</v>
      </c>
      <c r="M12" s="1445">
        <v>8785</v>
      </c>
      <c r="N12" s="1445">
        <v>8795</v>
      </c>
      <c r="O12" s="1053">
        <v>146498</v>
      </c>
      <c r="P12" s="1054">
        <v>0.3</v>
      </c>
      <c r="Q12" s="1445">
        <v>307672</v>
      </c>
      <c r="R12" s="1054">
        <v>103.7</v>
      </c>
      <c r="S12" s="1451">
        <v>76</v>
      </c>
      <c r="T12" s="1055">
        <v>906.07</v>
      </c>
      <c r="U12" s="1407">
        <v>75.86</v>
      </c>
      <c r="V12" s="1452">
        <v>92.2</v>
      </c>
      <c r="W12" s="1452">
        <v>3576.03</v>
      </c>
      <c r="X12" s="1452">
        <v>338.51</v>
      </c>
      <c r="Y12" s="1393" t="s">
        <v>148</v>
      </c>
      <c r="Z12" s="1453">
        <v>491.7</v>
      </c>
      <c r="AA12" s="1056">
        <v>43189</v>
      </c>
      <c r="AB12" s="1452">
        <v>3009</v>
      </c>
      <c r="AC12" s="1454">
        <v>6</v>
      </c>
      <c r="AD12" s="1453">
        <v>630</v>
      </c>
      <c r="AE12" s="627">
        <f>B12/T12</f>
        <v>329.5407639586345</v>
      </c>
      <c r="AF12" s="1455">
        <v>54.85</v>
      </c>
      <c r="AG12" s="1445">
        <v>245611</v>
      </c>
      <c r="AH12" s="1445">
        <v>4478</v>
      </c>
      <c r="AI12" s="1445">
        <v>6</v>
      </c>
      <c r="AJ12" s="1057">
        <v>2</v>
      </c>
    </row>
    <row r="13" spans="1:38" ht="16.05" customHeight="1">
      <c r="A13" s="858" t="s">
        <v>156</v>
      </c>
      <c r="B13" s="553">
        <v>239326</v>
      </c>
      <c r="C13" s="561">
        <v>1526</v>
      </c>
      <c r="D13" s="1429">
        <v>-0.7</v>
      </c>
      <c r="E13" s="1456">
        <v>11.8</v>
      </c>
      <c r="F13" s="1457">
        <v>57.6</v>
      </c>
      <c r="G13" s="1457">
        <v>30.6</v>
      </c>
      <c r="H13" s="1430">
        <f t="shared" ref="H13" si="8">I13-J13</f>
        <v>-1525</v>
      </c>
      <c r="I13" s="1430">
        <v>1603</v>
      </c>
      <c r="J13" s="1458">
        <v>3128</v>
      </c>
      <c r="K13" s="1417">
        <v>1.27</v>
      </c>
      <c r="L13" s="553">
        <f t="shared" ref="L13" si="9">M13-N13</f>
        <v>-315</v>
      </c>
      <c r="M13" s="1430">
        <v>7635</v>
      </c>
      <c r="N13" s="1430">
        <v>7950</v>
      </c>
      <c r="O13" s="561">
        <v>105489</v>
      </c>
      <c r="P13" s="703">
        <v>0.7</v>
      </c>
      <c r="Q13" s="1430">
        <v>247590</v>
      </c>
      <c r="R13" s="703">
        <f>263518/247590*100</f>
        <v>106.43321620420858</v>
      </c>
      <c r="S13" s="1459">
        <v>86.1</v>
      </c>
      <c r="T13" s="704">
        <v>381.58</v>
      </c>
      <c r="U13" s="1408">
        <v>40.9</v>
      </c>
      <c r="V13" s="521">
        <v>74.900000000000006</v>
      </c>
      <c r="W13" s="1429">
        <v>4380.8</v>
      </c>
      <c r="X13" s="521">
        <v>119</v>
      </c>
      <c r="Y13" s="1430" t="s">
        <v>153</v>
      </c>
      <c r="Z13" s="1432">
        <v>221.7</v>
      </c>
      <c r="AA13" s="705">
        <v>44378</v>
      </c>
      <c r="AB13" s="1429">
        <v>982.2</v>
      </c>
      <c r="AC13" s="1433">
        <v>1</v>
      </c>
      <c r="AD13" s="1432">
        <v>327.9</v>
      </c>
      <c r="AE13" s="554">
        <f>239326/381.58</f>
        <v>627.19744221395251</v>
      </c>
      <c r="AF13" s="1434">
        <v>36.79</v>
      </c>
      <c r="AG13" s="1430">
        <v>184382</v>
      </c>
      <c r="AH13" s="1430">
        <f>AG13/AF13</f>
        <v>5011.7423212829572</v>
      </c>
      <c r="AI13" s="1430">
        <v>6</v>
      </c>
      <c r="AJ13" s="559">
        <v>2</v>
      </c>
    </row>
    <row r="14" spans="1:38" ht="16.05" customHeight="1">
      <c r="A14" s="860" t="s">
        <v>157</v>
      </c>
      <c r="B14" s="563">
        <v>269363</v>
      </c>
      <c r="C14" s="635">
        <v>2077</v>
      </c>
      <c r="D14" s="1452">
        <v>-0.9</v>
      </c>
      <c r="E14" s="1460">
        <v>11.1</v>
      </c>
      <c r="F14" s="1461">
        <v>57.9</v>
      </c>
      <c r="G14" s="1461">
        <v>31.01</v>
      </c>
      <c r="H14" s="1393">
        <f t="shared" ref="H14" si="10">I14-J14</f>
        <v>-2194</v>
      </c>
      <c r="I14" s="1393">
        <v>1576</v>
      </c>
      <c r="J14" s="1462">
        <v>3770</v>
      </c>
      <c r="K14" s="1463">
        <v>1.25</v>
      </c>
      <c r="L14" s="563">
        <f t="shared" ref="L14" si="11">M14-N14</f>
        <v>-408</v>
      </c>
      <c r="M14" s="1393">
        <v>8852</v>
      </c>
      <c r="N14" s="1393">
        <v>9260</v>
      </c>
      <c r="O14" s="635">
        <v>124575</v>
      </c>
      <c r="P14" s="706">
        <v>0.4</v>
      </c>
      <c r="Q14" s="1464">
        <v>282693</v>
      </c>
      <c r="R14" s="1465">
        <v>102.83735</v>
      </c>
      <c r="S14" s="1466">
        <v>75</v>
      </c>
      <c r="T14" s="707">
        <v>767.72</v>
      </c>
      <c r="U14" s="1467">
        <v>50.4</v>
      </c>
      <c r="V14" s="517">
        <v>77.599999999999994</v>
      </c>
      <c r="W14" s="1465">
        <v>4148.3</v>
      </c>
      <c r="X14" s="517">
        <v>178.3</v>
      </c>
      <c r="Y14" s="1464" t="s">
        <v>148</v>
      </c>
      <c r="Z14" s="1468">
        <v>539</v>
      </c>
      <c r="AA14" s="1377">
        <v>43553</v>
      </c>
      <c r="AB14" s="1465">
        <v>4596</v>
      </c>
      <c r="AC14" s="1469">
        <v>1</v>
      </c>
      <c r="AD14" s="1468">
        <v>333</v>
      </c>
      <c r="AE14" s="539">
        <v>350</v>
      </c>
      <c r="AF14" s="1470">
        <v>40.72</v>
      </c>
      <c r="AG14" s="1464">
        <v>185024</v>
      </c>
      <c r="AH14" s="1464">
        <v>4544</v>
      </c>
      <c r="AI14" s="1464" t="s">
        <v>148</v>
      </c>
      <c r="AJ14" s="549">
        <v>2</v>
      </c>
    </row>
    <row r="15" spans="1:38" ht="16.05" customHeight="1">
      <c r="A15" s="858" t="s">
        <v>158</v>
      </c>
      <c r="B15" s="553">
        <v>316383</v>
      </c>
      <c r="C15" s="561">
        <v>2941</v>
      </c>
      <c r="D15" s="1429">
        <v>-0.7</v>
      </c>
      <c r="E15" s="1429">
        <v>12</v>
      </c>
      <c r="F15" s="1429">
        <v>60.3</v>
      </c>
      <c r="G15" s="1429">
        <v>27.7</v>
      </c>
      <c r="H15" s="1430">
        <f t="shared" ref="H15" si="12">I15-J15</f>
        <v>-1730</v>
      </c>
      <c r="I15" s="1430">
        <v>1978</v>
      </c>
      <c r="J15" s="1430">
        <v>3708</v>
      </c>
      <c r="K15" s="1417">
        <v>1.36</v>
      </c>
      <c r="L15" s="553">
        <f t="shared" ref="L15" si="13">M15-N15</f>
        <v>-417</v>
      </c>
      <c r="M15" s="1430">
        <v>10747</v>
      </c>
      <c r="N15" s="1430">
        <v>11164</v>
      </c>
      <c r="O15" s="1430">
        <v>145008</v>
      </c>
      <c r="P15" s="1411">
        <v>0.7</v>
      </c>
      <c r="Q15" s="1430">
        <v>327692</v>
      </c>
      <c r="R15" s="703">
        <v>103.7</v>
      </c>
      <c r="S15" s="1431">
        <v>61.9</v>
      </c>
      <c r="T15" s="704">
        <v>757.2</v>
      </c>
      <c r="U15" s="1429">
        <v>68.900000000000006</v>
      </c>
      <c r="V15" s="521">
        <v>81.2</v>
      </c>
      <c r="W15" s="1429">
        <v>3803.8</v>
      </c>
      <c r="X15" s="521">
        <v>201.4</v>
      </c>
      <c r="Y15" s="1429" t="s">
        <v>148</v>
      </c>
      <c r="Z15" s="1432">
        <v>487</v>
      </c>
      <c r="AA15" s="705" t="s">
        <v>159</v>
      </c>
      <c r="AB15" s="1429">
        <v>2300</v>
      </c>
      <c r="AC15" s="1433">
        <v>4</v>
      </c>
      <c r="AD15" s="1432">
        <v>694</v>
      </c>
      <c r="AE15" s="554">
        <v>418</v>
      </c>
      <c r="AF15" s="1434">
        <v>51.73</v>
      </c>
      <c r="AG15" s="1430">
        <v>245463</v>
      </c>
      <c r="AH15" s="1430">
        <v>4745</v>
      </c>
      <c r="AI15" s="1430">
        <v>1</v>
      </c>
      <c r="AJ15" s="559">
        <v>4</v>
      </c>
    </row>
    <row r="16" spans="1:38" ht="16.05" customHeight="1">
      <c r="A16" s="860" t="s">
        <v>160</v>
      </c>
      <c r="B16" s="563">
        <v>308593</v>
      </c>
      <c r="C16" s="635">
        <v>2955</v>
      </c>
      <c r="D16" s="1452">
        <v>-1.3</v>
      </c>
      <c r="E16" s="1460">
        <v>11.1</v>
      </c>
      <c r="F16" s="1461">
        <v>56.9</v>
      </c>
      <c r="G16" s="1461">
        <v>32</v>
      </c>
      <c r="H16" s="1436">
        <f t="shared" ref="H16" si="14">I16-J16</f>
        <v>-2966</v>
      </c>
      <c r="I16" s="1393">
        <v>1749</v>
      </c>
      <c r="J16" s="1393">
        <v>4715</v>
      </c>
      <c r="K16" s="1463">
        <v>1.34</v>
      </c>
      <c r="L16" s="1041">
        <f t="shared" ref="L16" si="15">M16-N16</f>
        <v>-976</v>
      </c>
      <c r="M16" s="1393">
        <v>7110</v>
      </c>
      <c r="N16" s="1393">
        <v>8086</v>
      </c>
      <c r="O16" s="1393">
        <v>146443</v>
      </c>
      <c r="P16" s="1471">
        <v>-0.1</v>
      </c>
      <c r="Q16" s="1393">
        <v>332931</v>
      </c>
      <c r="R16" s="1044">
        <v>98.349209999999999</v>
      </c>
      <c r="S16" s="1451">
        <v>72</v>
      </c>
      <c r="T16" s="1055">
        <v>1232.51</v>
      </c>
      <c r="U16" s="1452">
        <v>101</v>
      </c>
      <c r="V16" s="638">
        <v>80.48</v>
      </c>
      <c r="W16" s="1452">
        <v>2569.6999999999998</v>
      </c>
      <c r="X16" s="638">
        <v>275.16000000000003</v>
      </c>
      <c r="Y16" s="1393" t="s">
        <v>148</v>
      </c>
      <c r="Z16" s="1453">
        <v>856.09</v>
      </c>
      <c r="AA16" s="1410" t="s">
        <v>161</v>
      </c>
      <c r="AB16" s="1472">
        <v>4081.3</v>
      </c>
      <c r="AC16" s="1454">
        <v>8</v>
      </c>
      <c r="AD16" s="1453">
        <v>582.20000000000005</v>
      </c>
      <c r="AE16" s="627">
        <v>270.12438032957135</v>
      </c>
      <c r="AF16" s="1473">
        <v>42.64</v>
      </c>
      <c r="AG16" s="1393">
        <v>143992</v>
      </c>
      <c r="AH16" s="1393">
        <v>3376.9</v>
      </c>
      <c r="AI16" s="1393">
        <v>3</v>
      </c>
      <c r="AJ16" s="1058">
        <v>2</v>
      </c>
    </row>
    <row r="17" spans="1:36" ht="16.05" customHeight="1">
      <c r="A17" s="858" t="s">
        <v>162</v>
      </c>
      <c r="B17" s="553">
        <v>269196</v>
      </c>
      <c r="C17" s="561">
        <v>3748</v>
      </c>
      <c r="D17" s="1429">
        <v>-0.46</v>
      </c>
      <c r="E17" s="1429">
        <v>12.37</v>
      </c>
      <c r="F17" s="1429">
        <v>60.53</v>
      </c>
      <c r="G17" s="1429">
        <v>27.09</v>
      </c>
      <c r="H17" s="1430">
        <f t="shared" ref="H17" si="16">I17-J17</f>
        <v>-1324</v>
      </c>
      <c r="I17" s="1430">
        <v>1869</v>
      </c>
      <c r="J17" s="1430">
        <v>3193</v>
      </c>
      <c r="K17" s="1417">
        <v>1.39</v>
      </c>
      <c r="L17" s="553">
        <f t="shared" ref="L17" si="17">M17-N17</f>
        <v>178</v>
      </c>
      <c r="M17" s="1430">
        <v>11189</v>
      </c>
      <c r="N17" s="1430">
        <v>11011</v>
      </c>
      <c r="O17" s="1430">
        <v>130234</v>
      </c>
      <c r="P17" s="1411">
        <v>0.68</v>
      </c>
      <c r="Q17" s="1430">
        <v>270685</v>
      </c>
      <c r="R17" s="703">
        <v>109.2</v>
      </c>
      <c r="S17" s="1431">
        <v>52.6</v>
      </c>
      <c r="T17" s="704">
        <v>217.32</v>
      </c>
      <c r="U17" s="1429">
        <v>42.5</v>
      </c>
      <c r="V17" s="521">
        <v>72.400000000000006</v>
      </c>
      <c r="W17" s="1429">
        <v>4569.7</v>
      </c>
      <c r="X17" s="521">
        <v>174.8</v>
      </c>
      <c r="Y17" s="1429">
        <v>0</v>
      </c>
      <c r="Z17" s="1432">
        <v>0</v>
      </c>
      <c r="AA17" s="705" t="s">
        <v>163</v>
      </c>
      <c r="AB17" s="1429">
        <v>2741.4</v>
      </c>
      <c r="AC17" s="1433">
        <v>5</v>
      </c>
      <c r="AD17" s="1432">
        <v>464.8</v>
      </c>
      <c r="AE17" s="554">
        <v>1238.7</v>
      </c>
      <c r="AF17" s="1434">
        <v>37.51</v>
      </c>
      <c r="AG17" s="1430">
        <v>174150</v>
      </c>
      <c r="AH17" s="1430">
        <v>4643</v>
      </c>
      <c r="AI17" s="1430">
        <v>2</v>
      </c>
      <c r="AJ17" s="559">
        <v>3</v>
      </c>
    </row>
    <row r="18" spans="1:36" ht="16.05" customHeight="1">
      <c r="A18" s="860" t="s">
        <v>164</v>
      </c>
      <c r="B18" s="563">
        <v>515902</v>
      </c>
      <c r="C18" s="635">
        <v>9978</v>
      </c>
      <c r="D18" s="1452">
        <v>-0.3</v>
      </c>
      <c r="E18" s="1460">
        <v>12.5</v>
      </c>
      <c r="F18" s="1461">
        <v>61.41</v>
      </c>
      <c r="G18" s="1461">
        <v>26.09</v>
      </c>
      <c r="H18" s="1436">
        <f t="shared" ref="H18" si="18">I18-J18</f>
        <v>-2185</v>
      </c>
      <c r="I18" s="1393">
        <v>3337</v>
      </c>
      <c r="J18" s="1393">
        <v>5522</v>
      </c>
      <c r="K18" s="1463">
        <v>1.41</v>
      </c>
      <c r="L18" s="563">
        <f t="shared" ref="L18" si="19">M18-N18</f>
        <v>546</v>
      </c>
      <c r="M18" s="1393">
        <v>20302</v>
      </c>
      <c r="N18" s="1393">
        <v>19756</v>
      </c>
      <c r="O18" s="1393">
        <v>242710</v>
      </c>
      <c r="P18" s="1471">
        <v>1.1000000000000001</v>
      </c>
      <c r="Q18" s="1393">
        <v>518757</v>
      </c>
      <c r="R18" s="1044" t="s">
        <v>165</v>
      </c>
      <c r="S18" s="1380">
        <v>62.4</v>
      </c>
      <c r="T18" s="1055">
        <v>416.85</v>
      </c>
      <c r="U18" s="1452">
        <v>93.41</v>
      </c>
      <c r="V18" s="638">
        <v>82.8</v>
      </c>
      <c r="W18" s="1452">
        <v>4586.2</v>
      </c>
      <c r="X18" s="638">
        <v>323.39999999999998</v>
      </c>
      <c r="Y18" s="1452" t="s">
        <v>148</v>
      </c>
      <c r="Z18" s="1453" t="s">
        <v>148</v>
      </c>
      <c r="AA18" s="1059">
        <v>43553</v>
      </c>
      <c r="AB18" s="1452">
        <v>4672</v>
      </c>
      <c r="AC18" s="1454">
        <v>10</v>
      </c>
      <c r="AD18" s="1453">
        <v>1733</v>
      </c>
      <c r="AE18" s="627">
        <v>1237.6199999999999</v>
      </c>
      <c r="AF18" s="1473">
        <v>77.8</v>
      </c>
      <c r="AG18" s="1393">
        <v>403616</v>
      </c>
      <c r="AH18" s="1393">
        <v>5187.8999999999996</v>
      </c>
      <c r="AI18" s="1393">
        <v>5</v>
      </c>
      <c r="AJ18" s="1058" t="s">
        <v>148</v>
      </c>
    </row>
    <row r="19" spans="1:36" ht="16.05" customHeight="1">
      <c r="A19" s="858" t="s">
        <v>166</v>
      </c>
      <c r="B19" s="553">
        <v>330358</v>
      </c>
      <c r="C19" s="561">
        <v>7472</v>
      </c>
      <c r="D19" s="1429">
        <v>-0.5</v>
      </c>
      <c r="E19" s="1429">
        <v>11.6</v>
      </c>
      <c r="F19" s="1429">
        <v>58.3</v>
      </c>
      <c r="G19" s="1429">
        <v>30.1</v>
      </c>
      <c r="H19" s="1430">
        <f t="shared" ref="H19" si="20">I19-J19</f>
        <v>-2336</v>
      </c>
      <c r="I19" s="1430">
        <v>2046</v>
      </c>
      <c r="J19" s="1430">
        <v>4382</v>
      </c>
      <c r="K19" s="1417">
        <v>1.41</v>
      </c>
      <c r="L19" s="553">
        <f t="shared" ref="L19" si="21">M19-N19</f>
        <v>977</v>
      </c>
      <c r="M19" s="1430">
        <v>12878</v>
      </c>
      <c r="N19" s="1430">
        <v>11901</v>
      </c>
      <c r="O19" s="1430">
        <v>153436</v>
      </c>
      <c r="P19" s="1411">
        <v>0.7</v>
      </c>
      <c r="Q19" s="1430">
        <v>332149</v>
      </c>
      <c r="R19" s="703">
        <v>104</v>
      </c>
      <c r="S19" s="1431">
        <v>86</v>
      </c>
      <c r="T19" s="704">
        <v>311.58999999999997</v>
      </c>
      <c r="U19" s="1429">
        <v>49.8</v>
      </c>
      <c r="V19" s="521">
        <v>73.2</v>
      </c>
      <c r="W19" s="1429">
        <v>4013</v>
      </c>
      <c r="X19" s="521">
        <v>97.6</v>
      </c>
      <c r="Y19" s="1429">
        <v>127.4</v>
      </c>
      <c r="Z19" s="1432">
        <v>36.9</v>
      </c>
      <c r="AA19" s="705">
        <v>43553</v>
      </c>
      <c r="AB19" s="1429">
        <v>2640</v>
      </c>
      <c r="AC19" s="1433">
        <v>7</v>
      </c>
      <c r="AD19" s="1432">
        <v>1130.8</v>
      </c>
      <c r="AE19" s="554">
        <v>1060</v>
      </c>
      <c r="AF19" s="1434">
        <v>47.56</v>
      </c>
      <c r="AG19" s="1430">
        <v>197520</v>
      </c>
      <c r="AH19" s="1430">
        <v>4153</v>
      </c>
      <c r="AI19" s="1430">
        <v>3</v>
      </c>
      <c r="AJ19" s="559">
        <v>1</v>
      </c>
    </row>
    <row r="20" spans="1:36" ht="16.05" customHeight="1">
      <c r="A20" s="860" t="s">
        <v>167</v>
      </c>
      <c r="B20" s="563">
        <v>368109</v>
      </c>
      <c r="C20" s="635">
        <v>6445</v>
      </c>
      <c r="D20" s="1452">
        <v>-0.43</v>
      </c>
      <c r="E20" s="1452">
        <v>12</v>
      </c>
      <c r="F20" s="1452">
        <v>59.4</v>
      </c>
      <c r="G20" s="1452">
        <v>28.6</v>
      </c>
      <c r="H20" s="1393">
        <f t="shared" ref="H20" si="22">I20-J20</f>
        <v>-2263</v>
      </c>
      <c r="I20" s="1393">
        <v>2418</v>
      </c>
      <c r="J20" s="1462">
        <v>4681</v>
      </c>
      <c r="K20" s="1463">
        <v>1.37</v>
      </c>
      <c r="L20" s="563">
        <f t="shared" ref="L20" si="23">M20-N20</f>
        <v>771</v>
      </c>
      <c r="M20" s="1393">
        <v>13785</v>
      </c>
      <c r="N20" s="1393">
        <v>13014</v>
      </c>
      <c r="O20" s="1393">
        <v>170420</v>
      </c>
      <c r="P20" s="1471">
        <v>0.83</v>
      </c>
      <c r="Q20" s="1393">
        <v>372973</v>
      </c>
      <c r="R20" s="1044">
        <v>101.6</v>
      </c>
      <c r="S20" s="1380">
        <v>91</v>
      </c>
      <c r="T20" s="1055">
        <v>459.16</v>
      </c>
      <c r="U20" s="1452">
        <v>52.03</v>
      </c>
      <c r="V20" s="638">
        <v>75.599999999999994</v>
      </c>
      <c r="W20" s="1452">
        <v>4406.5</v>
      </c>
      <c r="X20" s="638">
        <v>84.4</v>
      </c>
      <c r="Y20" s="1474" t="s">
        <v>168</v>
      </c>
      <c r="Z20" s="1475" t="s">
        <v>169</v>
      </c>
      <c r="AA20" s="1060" t="s">
        <v>170</v>
      </c>
      <c r="AB20" s="1474" t="s">
        <v>171</v>
      </c>
      <c r="AC20" s="1476">
        <v>8</v>
      </c>
      <c r="AD20" s="1475" t="s">
        <v>172</v>
      </c>
      <c r="AE20" s="627">
        <v>801.7</v>
      </c>
      <c r="AF20" s="1473">
        <v>46.46</v>
      </c>
      <c r="AG20" s="1393">
        <v>201755</v>
      </c>
      <c r="AH20" s="1393">
        <v>4343</v>
      </c>
      <c r="AI20" s="1393">
        <v>5</v>
      </c>
      <c r="AJ20" s="1058">
        <v>8</v>
      </c>
    </row>
    <row r="21" spans="1:36" ht="16.05" customHeight="1">
      <c r="A21" s="858" t="s">
        <v>173</v>
      </c>
      <c r="B21" s="553">
        <v>352986</v>
      </c>
      <c r="C21" s="561">
        <v>9481</v>
      </c>
      <c r="D21" s="1429">
        <v>0</v>
      </c>
      <c r="E21" s="1429">
        <v>11.8</v>
      </c>
      <c r="F21" s="1429">
        <v>61.2</v>
      </c>
      <c r="G21" s="1429">
        <v>27</v>
      </c>
      <c r="H21" s="1430">
        <v>-1796</v>
      </c>
      <c r="I21" s="1430">
        <v>2131</v>
      </c>
      <c r="J21" s="1430">
        <v>3927</v>
      </c>
      <c r="K21" s="1417">
        <v>1.1299999999999999</v>
      </c>
      <c r="L21" s="553">
        <v>1744</v>
      </c>
      <c r="M21" s="1430">
        <v>16697</v>
      </c>
      <c r="N21" s="1430">
        <v>14953</v>
      </c>
      <c r="O21" s="1430">
        <v>166362</v>
      </c>
      <c r="P21" s="1411">
        <v>1.2</v>
      </c>
      <c r="Q21" s="1430">
        <v>354571</v>
      </c>
      <c r="R21" s="703">
        <v>96.8</v>
      </c>
      <c r="S21" s="1431">
        <v>69.400000000000006</v>
      </c>
      <c r="T21" s="704">
        <v>109.13</v>
      </c>
      <c r="U21" s="1429">
        <v>32.200000000000003</v>
      </c>
      <c r="V21" s="521">
        <v>76.34</v>
      </c>
      <c r="W21" s="1429">
        <v>8372.2199999999993</v>
      </c>
      <c r="X21" s="521">
        <v>77</v>
      </c>
      <c r="Y21" s="1477" t="s">
        <v>148</v>
      </c>
      <c r="Z21" s="1478" t="s">
        <v>148</v>
      </c>
      <c r="AA21" s="1061" t="s">
        <v>174</v>
      </c>
      <c r="AB21" s="1477" t="s">
        <v>175</v>
      </c>
      <c r="AC21" s="1479">
        <v>6</v>
      </c>
      <c r="AD21" s="1478" t="s">
        <v>176</v>
      </c>
      <c r="AE21" s="554">
        <v>3235</v>
      </c>
      <c r="AF21" s="1434">
        <v>35.99</v>
      </c>
      <c r="AG21" s="1430">
        <v>287009</v>
      </c>
      <c r="AH21" s="1430">
        <v>7975</v>
      </c>
      <c r="AI21" s="1430">
        <v>3</v>
      </c>
      <c r="AJ21" s="559">
        <v>3</v>
      </c>
    </row>
    <row r="22" spans="1:36" ht="16.05" customHeight="1">
      <c r="A22" s="860" t="s">
        <v>177</v>
      </c>
      <c r="B22" s="563">
        <v>604894</v>
      </c>
      <c r="C22" s="635">
        <v>40124</v>
      </c>
      <c r="D22" s="1452">
        <v>0</v>
      </c>
      <c r="E22" s="1452">
        <v>11.7</v>
      </c>
      <c r="F22" s="1452">
        <v>65.3</v>
      </c>
      <c r="G22" s="1452">
        <v>23</v>
      </c>
      <c r="H22" s="1436">
        <v>-2395</v>
      </c>
      <c r="I22" s="1393">
        <v>3951</v>
      </c>
      <c r="J22" s="1393">
        <v>6346</v>
      </c>
      <c r="K22" s="1463">
        <v>0.98</v>
      </c>
      <c r="L22" s="563">
        <v>1863</v>
      </c>
      <c r="M22" s="1393">
        <v>31853</v>
      </c>
      <c r="N22" s="1393">
        <v>29990</v>
      </c>
      <c r="O22" s="1393">
        <v>299580</v>
      </c>
      <c r="P22" s="1471">
        <v>1</v>
      </c>
      <c r="Q22" s="1393">
        <v>594274</v>
      </c>
      <c r="R22" s="1044">
        <v>82.5</v>
      </c>
      <c r="S22" s="1380">
        <v>55.3</v>
      </c>
      <c r="T22" s="1055">
        <v>61.95</v>
      </c>
      <c r="U22" s="1452">
        <v>54.7</v>
      </c>
      <c r="V22" s="1452">
        <v>98.8</v>
      </c>
      <c r="W22" s="1452">
        <v>10920.7</v>
      </c>
      <c r="X22" s="638">
        <v>7.3</v>
      </c>
      <c r="Y22" s="1480" t="s">
        <v>148</v>
      </c>
      <c r="Z22" s="1481" t="s">
        <v>148</v>
      </c>
      <c r="AA22" s="1062" t="s">
        <v>148</v>
      </c>
      <c r="AB22" s="1480" t="s">
        <v>148</v>
      </c>
      <c r="AC22" s="1482" t="s">
        <v>148</v>
      </c>
      <c r="AD22" s="1481" t="s">
        <v>148</v>
      </c>
      <c r="AE22" s="627">
        <v>9593</v>
      </c>
      <c r="AF22" s="1473">
        <v>54.24</v>
      </c>
      <c r="AG22" s="1393">
        <v>583102</v>
      </c>
      <c r="AH22" s="1393">
        <v>10750</v>
      </c>
      <c r="AI22" s="1393" t="s">
        <v>148</v>
      </c>
      <c r="AJ22" s="1063" t="s">
        <v>148</v>
      </c>
    </row>
    <row r="23" spans="1:36" ht="16.05" customHeight="1">
      <c r="A23" s="858" t="s">
        <v>178</v>
      </c>
      <c r="B23" s="553">
        <v>343644</v>
      </c>
      <c r="C23" s="561">
        <v>7630</v>
      </c>
      <c r="D23" s="1429">
        <v>-0.3</v>
      </c>
      <c r="E23" s="1429">
        <v>12.2</v>
      </c>
      <c r="F23" s="1429">
        <v>62.3</v>
      </c>
      <c r="G23" s="1429">
        <v>25.5</v>
      </c>
      <c r="H23" s="1430">
        <v>-1287</v>
      </c>
      <c r="I23" s="1430">
        <v>2312</v>
      </c>
      <c r="J23" s="1430">
        <v>3599</v>
      </c>
      <c r="K23" s="1417">
        <v>1.22</v>
      </c>
      <c r="L23" s="553">
        <v>106</v>
      </c>
      <c r="M23" s="1430">
        <v>13829</v>
      </c>
      <c r="N23" s="1430">
        <v>13723</v>
      </c>
      <c r="O23" s="1430">
        <v>160965</v>
      </c>
      <c r="P23" s="1411">
        <v>0.8</v>
      </c>
      <c r="Q23" s="1430">
        <v>341621</v>
      </c>
      <c r="R23" s="703">
        <v>87.3</v>
      </c>
      <c r="S23" s="1431">
        <v>59.02</v>
      </c>
      <c r="T23" s="704">
        <v>60.24</v>
      </c>
      <c r="U23" s="1429">
        <v>28.7</v>
      </c>
      <c r="V23" s="521">
        <v>83.057000000000002</v>
      </c>
      <c r="W23" s="1429">
        <v>9878.2000000000007</v>
      </c>
      <c r="X23" s="521">
        <v>31.5</v>
      </c>
      <c r="Y23" s="1429" t="s">
        <v>148</v>
      </c>
      <c r="Z23" s="1432" t="s">
        <v>148</v>
      </c>
      <c r="AA23" s="705" t="s">
        <v>148</v>
      </c>
      <c r="AB23" s="1429" t="s">
        <v>148</v>
      </c>
      <c r="AC23" s="1433" t="s">
        <v>148</v>
      </c>
      <c r="AD23" s="1432" t="s">
        <v>148</v>
      </c>
      <c r="AE23" s="554">
        <v>5704</v>
      </c>
      <c r="AF23" s="1434">
        <v>34.1</v>
      </c>
      <c r="AG23" s="1430">
        <v>311178</v>
      </c>
      <c r="AH23" s="1430">
        <v>9125</v>
      </c>
      <c r="AI23" s="1430">
        <v>1</v>
      </c>
      <c r="AJ23" s="559" t="s">
        <v>153</v>
      </c>
    </row>
    <row r="24" spans="1:36" ht="16.05" customHeight="1">
      <c r="A24" s="860" t="s">
        <v>179</v>
      </c>
      <c r="B24" s="563">
        <v>647597</v>
      </c>
      <c r="C24" s="635">
        <v>19521</v>
      </c>
      <c r="D24" s="1452">
        <v>0.3</v>
      </c>
      <c r="E24" s="1452">
        <v>12.2</v>
      </c>
      <c r="F24" s="1452">
        <v>63.8</v>
      </c>
      <c r="G24" s="1452">
        <v>24</v>
      </c>
      <c r="H24" s="1436">
        <v>-2344</v>
      </c>
      <c r="I24" s="1393">
        <v>4164</v>
      </c>
      <c r="J24" s="1462">
        <v>6508</v>
      </c>
      <c r="K24" s="1483">
        <v>1.18</v>
      </c>
      <c r="L24" s="563">
        <v>2188</v>
      </c>
      <c r="M24" s="1393">
        <v>32809</v>
      </c>
      <c r="N24" s="1393">
        <v>30621</v>
      </c>
      <c r="O24" s="1393">
        <v>317341</v>
      </c>
      <c r="P24" s="1471">
        <v>1.2</v>
      </c>
      <c r="Q24" s="1393">
        <v>642907</v>
      </c>
      <c r="R24" s="1044">
        <v>84.4</v>
      </c>
      <c r="S24" s="1380">
        <v>69</v>
      </c>
      <c r="T24" s="1055">
        <v>85.62</v>
      </c>
      <c r="U24" s="1452">
        <v>55.51</v>
      </c>
      <c r="V24" s="638">
        <v>93.96</v>
      </c>
      <c r="W24" s="1452">
        <v>10940.566999999999</v>
      </c>
      <c r="X24" s="638">
        <v>30.13</v>
      </c>
      <c r="Y24" s="1452" t="s">
        <v>148</v>
      </c>
      <c r="Z24" s="1453" t="s">
        <v>148</v>
      </c>
      <c r="AA24" s="1056" t="s">
        <v>180</v>
      </c>
      <c r="AB24" s="1452" t="s">
        <v>181</v>
      </c>
      <c r="AC24" s="1454" t="s">
        <v>181</v>
      </c>
      <c r="AD24" s="1453" t="s">
        <v>181</v>
      </c>
      <c r="AE24" s="627">
        <v>7563.6183134781586</v>
      </c>
      <c r="AF24" s="1473">
        <v>59.71</v>
      </c>
      <c r="AG24" s="1393">
        <v>617424</v>
      </c>
      <c r="AH24" s="1393">
        <v>10340</v>
      </c>
      <c r="AI24" s="1064">
        <v>3</v>
      </c>
      <c r="AJ24" s="1058" t="s">
        <v>153</v>
      </c>
    </row>
    <row r="25" spans="1:36" ht="16.05" customHeight="1">
      <c r="A25" s="858" t="s">
        <v>182</v>
      </c>
      <c r="B25" s="553">
        <v>434156</v>
      </c>
      <c r="C25" s="561">
        <v>11079</v>
      </c>
      <c r="D25" s="1429">
        <v>0.68482825954364901</v>
      </c>
      <c r="E25" s="1429">
        <v>12.64</v>
      </c>
      <c r="F25" s="1429">
        <v>61.38</v>
      </c>
      <c r="G25" s="1429">
        <v>25.98</v>
      </c>
      <c r="H25" s="1430">
        <f t="shared" ref="H25:H27" si="24">I25-J25</f>
        <v>-1568</v>
      </c>
      <c r="I25" s="1430">
        <v>2923</v>
      </c>
      <c r="J25" s="1458">
        <v>4491</v>
      </c>
      <c r="K25" s="1417">
        <v>1.28</v>
      </c>
      <c r="L25" s="553">
        <f t="shared" ref="L25:L27" si="25">M25-N25</f>
        <v>4034</v>
      </c>
      <c r="M25" s="1430">
        <v>24007</v>
      </c>
      <c r="N25" s="1430">
        <v>19973</v>
      </c>
      <c r="O25" s="1430">
        <v>204355</v>
      </c>
      <c r="P25" s="1411">
        <v>1.8003297781718699</v>
      </c>
      <c r="Q25" s="1430">
        <v>426468</v>
      </c>
      <c r="R25" s="703">
        <v>91.757649999999998</v>
      </c>
      <c r="S25" s="1431">
        <v>62</v>
      </c>
      <c r="T25" s="704">
        <v>114.74</v>
      </c>
      <c r="U25" s="1429">
        <v>54.8</v>
      </c>
      <c r="V25" s="521">
        <v>95.553241979999996</v>
      </c>
      <c r="W25" s="521">
        <v>7430.7804522246533</v>
      </c>
      <c r="X25" s="521">
        <v>60.1</v>
      </c>
      <c r="Y25" s="1429">
        <v>0</v>
      </c>
      <c r="Z25" s="1432">
        <v>0</v>
      </c>
      <c r="AA25" s="705" t="s">
        <v>183</v>
      </c>
      <c r="AB25" s="1429">
        <v>4378</v>
      </c>
      <c r="AC25" s="1433">
        <v>17</v>
      </c>
      <c r="AD25" s="1432">
        <v>510.7</v>
      </c>
      <c r="AE25" s="554">
        <v>3783.8242984138051</v>
      </c>
      <c r="AF25" s="1434">
        <v>45.94</v>
      </c>
      <c r="AG25" s="1430">
        <v>390336</v>
      </c>
      <c r="AH25" s="1430">
        <v>8496.6478014801924</v>
      </c>
      <c r="AI25" s="1430">
        <v>4</v>
      </c>
      <c r="AJ25" s="559">
        <v>3</v>
      </c>
    </row>
    <row r="26" spans="1:36" ht="16.05" customHeight="1">
      <c r="A26" s="860" t="s">
        <v>184</v>
      </c>
      <c r="B26" s="563">
        <v>561034</v>
      </c>
      <c r="C26" s="635">
        <v>14339</v>
      </c>
      <c r="D26" s="1452">
        <v>-7.4999999999999997E-2</v>
      </c>
      <c r="E26" s="1452">
        <v>10.8</v>
      </c>
      <c r="F26" s="1452">
        <v>61.6</v>
      </c>
      <c r="G26" s="1452">
        <v>27.6</v>
      </c>
      <c r="H26" s="1436">
        <f t="shared" si="24"/>
        <v>-3566</v>
      </c>
      <c r="I26" s="1393">
        <v>2803</v>
      </c>
      <c r="J26" s="1462">
        <v>6369</v>
      </c>
      <c r="K26" s="1463">
        <v>1.08</v>
      </c>
      <c r="L26" s="563">
        <f t="shared" si="25"/>
        <v>3953</v>
      </c>
      <c r="M26" s="1393">
        <v>27316</v>
      </c>
      <c r="N26" s="1393">
        <v>23363</v>
      </c>
      <c r="O26" s="1393">
        <v>279815</v>
      </c>
      <c r="P26" s="1471">
        <v>1.1000000000000001</v>
      </c>
      <c r="Q26" s="1393">
        <v>579355</v>
      </c>
      <c r="R26" s="1044">
        <v>99.087779999999995</v>
      </c>
      <c r="S26" s="1380">
        <v>52.72</v>
      </c>
      <c r="T26" s="1055">
        <v>186.38</v>
      </c>
      <c r="U26" s="1452">
        <v>81.5</v>
      </c>
      <c r="V26" s="638" t="s">
        <v>185</v>
      </c>
      <c r="W26" s="1446" t="s">
        <v>185</v>
      </c>
      <c r="X26" s="638">
        <v>104.8</v>
      </c>
      <c r="Y26" s="1452" t="s">
        <v>153</v>
      </c>
      <c r="Z26" s="1453" t="s">
        <v>153</v>
      </c>
      <c r="AA26" s="1056">
        <v>44013</v>
      </c>
      <c r="AB26" s="1452">
        <v>6563</v>
      </c>
      <c r="AC26" s="1454">
        <v>13</v>
      </c>
      <c r="AD26" s="1453">
        <v>427</v>
      </c>
      <c r="AE26" s="627">
        <v>3010.16</v>
      </c>
      <c r="AF26" s="1473">
        <v>67.75</v>
      </c>
      <c r="AG26" s="1393">
        <v>525295</v>
      </c>
      <c r="AH26" s="1393">
        <v>7753.4</v>
      </c>
      <c r="AI26" s="1393">
        <v>4</v>
      </c>
      <c r="AJ26" s="1057">
        <v>4</v>
      </c>
    </row>
    <row r="27" spans="1:36" ht="16.05" customHeight="1">
      <c r="A27" s="858" t="s">
        <v>186</v>
      </c>
      <c r="B27" s="553">
        <v>385485</v>
      </c>
      <c r="C27" s="561">
        <v>6458</v>
      </c>
      <c r="D27" s="1429">
        <v>-1.1599999999999999</v>
      </c>
      <c r="E27" s="1429">
        <v>10.07</v>
      </c>
      <c r="F27" s="1429">
        <v>57.43</v>
      </c>
      <c r="G27" s="1429">
        <v>32.479999999999997</v>
      </c>
      <c r="H27" s="1430">
        <f t="shared" si="24"/>
        <v>-3542</v>
      </c>
      <c r="I27" s="1430">
        <v>1863</v>
      </c>
      <c r="J27" s="1458">
        <v>5405</v>
      </c>
      <c r="K27" s="1417">
        <v>1.07</v>
      </c>
      <c r="L27" s="553">
        <f t="shared" si="25"/>
        <v>-904</v>
      </c>
      <c r="M27" s="1430">
        <v>14499</v>
      </c>
      <c r="N27" s="1430">
        <v>15403</v>
      </c>
      <c r="O27" s="1430">
        <v>185888</v>
      </c>
      <c r="P27" s="1411">
        <v>0.17</v>
      </c>
      <c r="Q27" s="1430">
        <v>388078</v>
      </c>
      <c r="R27" s="703">
        <v>92.2</v>
      </c>
      <c r="S27" s="1459">
        <v>80</v>
      </c>
      <c r="T27" s="704">
        <v>100.82</v>
      </c>
      <c r="U27" s="1429">
        <v>66.3</v>
      </c>
      <c r="V27" s="521">
        <v>97.8</v>
      </c>
      <c r="W27" s="1429">
        <v>5724.8</v>
      </c>
      <c r="X27" s="521">
        <v>34.5</v>
      </c>
      <c r="Y27" s="1429" t="s">
        <v>148</v>
      </c>
      <c r="Z27" s="1432" t="s">
        <v>148</v>
      </c>
      <c r="AA27" s="705">
        <v>45016</v>
      </c>
      <c r="AB27" s="1429">
        <v>4103.6000000000004</v>
      </c>
      <c r="AC27" s="1433">
        <v>16</v>
      </c>
      <c r="AD27" s="1432">
        <v>468.4</v>
      </c>
      <c r="AE27" s="554">
        <v>3868</v>
      </c>
      <c r="AF27" s="1434">
        <v>56.88</v>
      </c>
      <c r="AG27" s="1430">
        <v>364104</v>
      </c>
      <c r="AH27" s="1430">
        <v>6401</v>
      </c>
      <c r="AI27" s="1430">
        <v>4</v>
      </c>
      <c r="AJ27" s="559">
        <v>2</v>
      </c>
    </row>
    <row r="28" spans="1:36" ht="16.05" customHeight="1">
      <c r="A28" s="860" t="s">
        <v>187</v>
      </c>
      <c r="B28" s="563">
        <v>407542</v>
      </c>
      <c r="C28" s="635">
        <v>7647</v>
      </c>
      <c r="D28" s="1452">
        <v>-0.7</v>
      </c>
      <c r="E28" s="1452">
        <v>11.5</v>
      </c>
      <c r="F28" s="1452">
        <v>58.4</v>
      </c>
      <c r="G28" s="1452">
        <v>30.1</v>
      </c>
      <c r="H28" s="1436">
        <v>-2723</v>
      </c>
      <c r="I28" s="1393">
        <v>2665</v>
      </c>
      <c r="J28" s="1462">
        <v>5388</v>
      </c>
      <c r="K28" s="1463">
        <v>1.43</v>
      </c>
      <c r="L28" s="563">
        <v>576</v>
      </c>
      <c r="M28" s="1393">
        <v>12638</v>
      </c>
      <c r="N28" s="1393">
        <v>12062</v>
      </c>
      <c r="O28" s="1393">
        <v>184071</v>
      </c>
      <c r="P28" s="1471">
        <v>0.7</v>
      </c>
      <c r="Q28" s="1393">
        <v>413938</v>
      </c>
      <c r="R28" s="1044">
        <v>105.7</v>
      </c>
      <c r="S28" s="1380">
        <v>83.52</v>
      </c>
      <c r="T28" s="1055">
        <v>1241.7</v>
      </c>
      <c r="U28" s="1452">
        <v>73.64</v>
      </c>
      <c r="V28" s="638">
        <v>69.7</v>
      </c>
      <c r="W28" s="1452">
        <v>3855.4</v>
      </c>
      <c r="X28" s="638">
        <v>156.65100000000001</v>
      </c>
      <c r="Y28" s="1452">
        <v>130.07</v>
      </c>
      <c r="Z28" s="1453">
        <v>881.34</v>
      </c>
      <c r="AA28" s="1065" t="s">
        <v>188</v>
      </c>
      <c r="AB28" s="1452">
        <v>3922</v>
      </c>
      <c r="AC28" s="1454">
        <v>1</v>
      </c>
      <c r="AD28" s="1453">
        <v>436</v>
      </c>
      <c r="AE28" s="627">
        <v>328</v>
      </c>
      <c r="AF28" s="1473">
        <v>61.96</v>
      </c>
      <c r="AG28" s="1393">
        <v>246850</v>
      </c>
      <c r="AH28" s="1393">
        <v>3984</v>
      </c>
      <c r="AI28" s="1393">
        <v>4</v>
      </c>
      <c r="AJ28" s="1058">
        <v>3</v>
      </c>
    </row>
    <row r="29" spans="1:36" ht="16.05" customHeight="1">
      <c r="A29" s="858" t="s">
        <v>189</v>
      </c>
      <c r="B29" s="586">
        <v>445688</v>
      </c>
      <c r="C29" s="649">
        <v>6229</v>
      </c>
      <c r="D29" s="1415">
        <v>-0.34010943429134688</v>
      </c>
      <c r="E29" s="1415">
        <v>12.202482454093399</v>
      </c>
      <c r="F29" s="1415">
        <v>60.371829620721201</v>
      </c>
      <c r="G29" s="1415">
        <v>27.425687925185301</v>
      </c>
      <c r="H29" s="1430">
        <v>-2153</v>
      </c>
      <c r="I29" s="1416">
        <v>3066</v>
      </c>
      <c r="J29" s="1416">
        <v>5219</v>
      </c>
      <c r="K29" s="1417">
        <v>1.34</v>
      </c>
      <c r="L29" s="553">
        <v>627</v>
      </c>
      <c r="M29" s="1416">
        <v>17641</v>
      </c>
      <c r="N29" s="1416">
        <v>17014</v>
      </c>
      <c r="O29" s="1416">
        <v>212096</v>
      </c>
      <c r="P29" s="1418">
        <v>0.76154551457767727</v>
      </c>
      <c r="Q29" s="1416">
        <v>463254</v>
      </c>
      <c r="R29" s="703">
        <v>107.45358</v>
      </c>
      <c r="S29" s="1442">
        <v>68</v>
      </c>
      <c r="T29" s="1024">
        <v>468.81</v>
      </c>
      <c r="U29" s="1415">
        <v>86.46</v>
      </c>
      <c r="V29" s="658">
        <v>93.43</v>
      </c>
      <c r="W29" s="1429">
        <v>48.2</v>
      </c>
      <c r="X29" s="658">
        <v>137.03</v>
      </c>
      <c r="Y29" s="1415" t="s">
        <v>153</v>
      </c>
      <c r="Z29" s="1443">
        <v>245.32</v>
      </c>
      <c r="AA29" s="705">
        <v>45016</v>
      </c>
      <c r="AB29" s="1415">
        <v>3656</v>
      </c>
      <c r="AC29" s="1444">
        <v>8</v>
      </c>
      <c r="AD29" s="1443">
        <v>1080</v>
      </c>
      <c r="AE29" s="576">
        <v>950.67937970606431</v>
      </c>
      <c r="AF29" s="1419">
        <v>69.47</v>
      </c>
      <c r="AG29" s="1416">
        <v>399221</v>
      </c>
      <c r="AH29" s="1416">
        <v>5746.7</v>
      </c>
      <c r="AI29" s="1416">
        <v>8</v>
      </c>
      <c r="AJ29" s="1031">
        <v>12</v>
      </c>
    </row>
    <row r="30" spans="1:36" ht="15.75" customHeight="1">
      <c r="A30" s="860" t="s">
        <v>190</v>
      </c>
      <c r="B30" s="563">
        <v>256435</v>
      </c>
      <c r="C30" s="635">
        <v>4688</v>
      </c>
      <c r="D30" s="1452">
        <v>-0.7</v>
      </c>
      <c r="E30" s="1452">
        <v>12.4</v>
      </c>
      <c r="F30" s="1452">
        <v>57.9</v>
      </c>
      <c r="G30" s="1452">
        <v>29.7</v>
      </c>
      <c r="H30" s="1393">
        <f t="shared" ref="H30" si="26">I30-J30</f>
        <v>-1521</v>
      </c>
      <c r="I30" s="1393">
        <v>1800</v>
      </c>
      <c r="J30" s="1462">
        <v>3321</v>
      </c>
      <c r="K30" s="1463">
        <v>1.56</v>
      </c>
      <c r="L30" s="563">
        <f t="shared" ref="L30" si="27">M30-N30</f>
        <v>-269</v>
      </c>
      <c r="M30" s="1393">
        <v>7740</v>
      </c>
      <c r="N30" s="1393">
        <v>8009</v>
      </c>
      <c r="O30" s="1393">
        <v>106722</v>
      </c>
      <c r="P30" s="1471">
        <v>1</v>
      </c>
      <c r="Q30" s="1393">
        <v>262328</v>
      </c>
      <c r="R30" s="1044">
        <v>109.10805999999999</v>
      </c>
      <c r="S30" s="1380">
        <v>73</v>
      </c>
      <c r="T30" s="1055">
        <v>536.41999999999996</v>
      </c>
      <c r="U30" s="1452">
        <v>46.85</v>
      </c>
      <c r="V30" s="638">
        <f>(203581/237489)*100</f>
        <v>85.722286084829193</v>
      </c>
      <c r="W30" s="1452">
        <f>203581/46.85</f>
        <v>4345.3788687299893</v>
      </c>
      <c r="X30" s="638">
        <v>131.15</v>
      </c>
      <c r="Y30" s="1452">
        <v>25.6</v>
      </c>
      <c r="Z30" s="1453">
        <v>332.81</v>
      </c>
      <c r="AA30" s="1377" t="s">
        <v>191</v>
      </c>
      <c r="AB30" s="1452">
        <v>3832</v>
      </c>
      <c r="AC30" s="1454">
        <v>1</v>
      </c>
      <c r="AD30" s="1453">
        <v>601</v>
      </c>
      <c r="AE30" s="627">
        <f>256435/536.41</f>
        <v>478.05782889953582</v>
      </c>
      <c r="AF30" s="1473">
        <v>40.04</v>
      </c>
      <c r="AG30" s="1393">
        <v>184843</v>
      </c>
      <c r="AH30" s="1393">
        <v>4616.5</v>
      </c>
      <c r="AI30" s="1393">
        <v>4</v>
      </c>
      <c r="AJ30" s="1058">
        <v>2</v>
      </c>
    </row>
    <row r="31" spans="1:36" ht="16.05" customHeight="1">
      <c r="A31" s="858" t="s">
        <v>192</v>
      </c>
      <c r="B31" s="553">
        <v>185651</v>
      </c>
      <c r="C31" s="561">
        <v>6654</v>
      </c>
      <c r="D31" s="1429">
        <v>-0.1</v>
      </c>
      <c r="E31" s="1429">
        <v>11.2</v>
      </c>
      <c r="F31" s="1429">
        <v>59</v>
      </c>
      <c r="G31" s="1429">
        <v>29.8</v>
      </c>
      <c r="H31" s="1430">
        <v>-1357</v>
      </c>
      <c r="I31" s="1430">
        <v>1181</v>
      </c>
      <c r="J31" s="1458">
        <v>2538</v>
      </c>
      <c r="K31" s="1417">
        <v>1.42</v>
      </c>
      <c r="L31" s="553">
        <v>1570</v>
      </c>
      <c r="M31" s="1430">
        <v>9293</v>
      </c>
      <c r="N31" s="1430">
        <v>7723</v>
      </c>
      <c r="O31" s="1430">
        <v>93841</v>
      </c>
      <c r="P31" s="1411">
        <v>1.6</v>
      </c>
      <c r="Q31" s="1430">
        <v>189591</v>
      </c>
      <c r="R31" s="703">
        <v>113.1</v>
      </c>
      <c r="S31" s="1431">
        <v>67</v>
      </c>
      <c r="T31" s="704">
        <v>212.47</v>
      </c>
      <c r="U31" s="1429">
        <v>31.9</v>
      </c>
      <c r="V31" s="521">
        <v>79.8</v>
      </c>
      <c r="W31" s="1484">
        <v>4744.5</v>
      </c>
      <c r="X31" s="521">
        <v>46.7</v>
      </c>
      <c r="Y31" s="1429">
        <v>14.6</v>
      </c>
      <c r="Z31" s="1432">
        <v>119.2</v>
      </c>
      <c r="AA31" s="705">
        <v>43922</v>
      </c>
      <c r="AB31" s="1429">
        <v>2475.1</v>
      </c>
      <c r="AC31" s="1433">
        <v>5</v>
      </c>
      <c r="AD31" s="1432">
        <v>301.3</v>
      </c>
      <c r="AE31" s="554">
        <v>874</v>
      </c>
      <c r="AF31" s="1434">
        <v>32.909999999999997</v>
      </c>
      <c r="AG31" s="1430">
        <v>149277</v>
      </c>
      <c r="AH31" s="1430">
        <v>4536</v>
      </c>
      <c r="AI31" s="1430">
        <v>5</v>
      </c>
      <c r="AJ31" s="1459">
        <v>1</v>
      </c>
    </row>
    <row r="32" spans="1:36" ht="16.05" customHeight="1">
      <c r="A32" s="860" t="s">
        <v>193</v>
      </c>
      <c r="B32" s="563">
        <v>366591</v>
      </c>
      <c r="C32" s="635">
        <v>4033</v>
      </c>
      <c r="D32" s="1452">
        <v>-0.8</v>
      </c>
      <c r="E32" s="1452">
        <f>43010/B32*100</f>
        <v>11.73242114509085</v>
      </c>
      <c r="F32" s="1452">
        <f>211509/B32*100</f>
        <v>57.696179120600341</v>
      </c>
      <c r="G32" s="1452">
        <f>112072/B32*100</f>
        <v>30.571399734308809</v>
      </c>
      <c r="H32" s="1436">
        <f t="shared" ref="H32" si="28">I32-J32</f>
        <v>-2361</v>
      </c>
      <c r="I32" s="1393">
        <v>2402</v>
      </c>
      <c r="J32" s="1462">
        <v>4763</v>
      </c>
      <c r="K32" s="1463">
        <v>1.43</v>
      </c>
      <c r="L32" s="563">
        <f t="shared" ref="L32:L35" si="29">M32-N32</f>
        <v>-453</v>
      </c>
      <c r="M32" s="1393">
        <v>10881</v>
      </c>
      <c r="N32" s="1393">
        <v>11334</v>
      </c>
      <c r="O32" s="1393">
        <v>163928</v>
      </c>
      <c r="P32" s="1471">
        <f>(O32/163228-1)*100</f>
        <v>0.42884799176612365</v>
      </c>
      <c r="Q32" s="1393">
        <v>372760</v>
      </c>
      <c r="R32" s="1044">
        <f>383757/Q32*100</f>
        <v>102.95015559609399</v>
      </c>
      <c r="S32" s="1380">
        <v>95.83</v>
      </c>
      <c r="T32" s="1055">
        <v>834.81</v>
      </c>
      <c r="U32" s="1452">
        <v>59.5</v>
      </c>
      <c r="V32" s="638">
        <v>78.2</v>
      </c>
      <c r="W32" s="638">
        <v>4815.6000000000004</v>
      </c>
      <c r="X32" s="638">
        <v>142.1</v>
      </c>
      <c r="Y32" s="1452">
        <v>13.8</v>
      </c>
      <c r="Z32" s="1453">
        <v>619.4</v>
      </c>
      <c r="AA32" s="1056" t="s">
        <v>194</v>
      </c>
      <c r="AB32" s="1452">
        <v>5432.6</v>
      </c>
      <c r="AC32" s="1454">
        <v>4</v>
      </c>
      <c r="AD32" s="1453">
        <v>1411.4</v>
      </c>
      <c r="AE32" s="627">
        <f>B32/834.81</f>
        <v>439.13105976210159</v>
      </c>
      <c r="AF32" s="1473">
        <v>55.4</v>
      </c>
      <c r="AG32" s="1393">
        <v>272005</v>
      </c>
      <c r="AH32" s="1393">
        <f>AG32/AF32</f>
        <v>4909.8375451263537</v>
      </c>
      <c r="AI32" s="1393">
        <v>2</v>
      </c>
      <c r="AJ32" s="1058" t="s">
        <v>153</v>
      </c>
    </row>
    <row r="33" spans="1:36" ht="16.05" customHeight="1">
      <c r="A33" s="858" t="s">
        <v>195</v>
      </c>
      <c r="B33" s="553">
        <v>235720</v>
      </c>
      <c r="C33" s="561">
        <v>4024</v>
      </c>
      <c r="D33" s="1429">
        <v>-0.3</v>
      </c>
      <c r="E33" s="1429">
        <v>12.34</v>
      </c>
      <c r="F33" s="1429">
        <v>59.23</v>
      </c>
      <c r="G33" s="1429">
        <v>28.43</v>
      </c>
      <c r="H33" s="1430">
        <f>I33-J33</f>
        <v>-1263</v>
      </c>
      <c r="I33" s="1430">
        <v>1650</v>
      </c>
      <c r="J33" s="1430">
        <v>2913</v>
      </c>
      <c r="K33" s="1417">
        <v>1.32</v>
      </c>
      <c r="L33" s="553">
        <f t="shared" si="29"/>
        <v>832</v>
      </c>
      <c r="M33" s="1430">
        <v>10077</v>
      </c>
      <c r="N33" s="1430">
        <v>9245</v>
      </c>
      <c r="O33" s="1430">
        <v>108573</v>
      </c>
      <c r="P33" s="1411">
        <v>0.98</v>
      </c>
      <c r="Q33" s="1430">
        <v>241145</v>
      </c>
      <c r="R33" s="703">
        <v>105.8</v>
      </c>
      <c r="S33" s="1431">
        <v>75</v>
      </c>
      <c r="T33" s="704">
        <v>978.47</v>
      </c>
      <c r="U33" s="1429">
        <v>40.299999999999997</v>
      </c>
      <c r="V33" s="521">
        <v>72.099999999999994</v>
      </c>
      <c r="W33" s="1484">
        <v>4311.8</v>
      </c>
      <c r="X33" s="521">
        <v>261.60000000000002</v>
      </c>
      <c r="Y33" s="1429" t="s">
        <v>148</v>
      </c>
      <c r="Z33" s="1432">
        <v>676.6</v>
      </c>
      <c r="AA33" s="705">
        <v>43555</v>
      </c>
      <c r="AB33" s="1429">
        <v>1984</v>
      </c>
      <c r="AC33" s="1433">
        <v>8</v>
      </c>
      <c r="AD33" s="1432">
        <v>783</v>
      </c>
      <c r="AE33" s="554">
        <f>B33/T33</f>
        <v>240.90672171860149</v>
      </c>
      <c r="AF33" s="1434">
        <v>32.57</v>
      </c>
      <c r="AG33" s="1430">
        <v>149054</v>
      </c>
      <c r="AH33" s="1430">
        <v>4576</v>
      </c>
      <c r="AI33" s="1430">
        <v>4</v>
      </c>
      <c r="AJ33" s="1459">
        <v>3</v>
      </c>
    </row>
    <row r="34" spans="1:36" ht="16.05" customHeight="1">
      <c r="A34" s="860" t="s">
        <v>196</v>
      </c>
      <c r="B34" s="563">
        <v>401294</v>
      </c>
      <c r="C34" s="635">
        <v>9862</v>
      </c>
      <c r="D34" s="1452">
        <v>-0.4</v>
      </c>
      <c r="E34" s="1452">
        <v>11.8</v>
      </c>
      <c r="F34" s="1452">
        <v>59.1</v>
      </c>
      <c r="G34" s="1452">
        <v>29.1</v>
      </c>
      <c r="H34" s="1393">
        <f t="shared" ref="H34:H35" si="30">I34-J34</f>
        <v>-2751</v>
      </c>
      <c r="I34" s="1393">
        <v>2550</v>
      </c>
      <c r="J34" s="1393">
        <v>5301</v>
      </c>
      <c r="K34" s="1463">
        <v>1.32</v>
      </c>
      <c r="L34" s="563">
        <f t="shared" si="29"/>
        <v>834</v>
      </c>
      <c r="M34" s="1393">
        <v>15579</v>
      </c>
      <c r="N34" s="1393">
        <v>14745</v>
      </c>
      <c r="O34" s="1393">
        <v>185365</v>
      </c>
      <c r="P34" s="1471">
        <v>1</v>
      </c>
      <c r="Q34" s="1462">
        <v>402557</v>
      </c>
      <c r="R34" s="1452">
        <v>102.2</v>
      </c>
      <c r="S34" s="1380">
        <v>55.4</v>
      </c>
      <c r="T34" s="1055">
        <v>203.6</v>
      </c>
      <c r="U34" s="1452">
        <v>80.3</v>
      </c>
      <c r="V34" s="638">
        <f>372924/403441*100</f>
        <v>92.43582085112817</v>
      </c>
      <c r="W34" s="1452">
        <f>372050/80.27</f>
        <v>4634.9819359661142</v>
      </c>
      <c r="X34" s="638">
        <v>123.3</v>
      </c>
      <c r="Y34" s="1452" t="s">
        <v>153</v>
      </c>
      <c r="Z34" s="1453" t="s">
        <v>153</v>
      </c>
      <c r="AA34" s="1056">
        <v>42825</v>
      </c>
      <c r="AB34" s="1452">
        <v>4580</v>
      </c>
      <c r="AC34" s="1454">
        <v>13</v>
      </c>
      <c r="AD34" s="1453">
        <v>1269</v>
      </c>
      <c r="AE34" s="627">
        <v>1977</v>
      </c>
      <c r="AF34" s="1473">
        <v>62.62</v>
      </c>
      <c r="AG34" s="1393">
        <v>304103</v>
      </c>
      <c r="AH34" s="1393">
        <v>4856</v>
      </c>
      <c r="AI34" s="1393">
        <v>6</v>
      </c>
      <c r="AJ34" s="1453" t="s">
        <v>153</v>
      </c>
    </row>
    <row r="35" spans="1:36" ht="15.75" customHeight="1">
      <c r="A35" s="858" t="s">
        <v>197</v>
      </c>
      <c r="B35" s="553">
        <v>369330</v>
      </c>
      <c r="C35" s="561">
        <v>19750</v>
      </c>
      <c r="D35" s="1429">
        <v>-0.4</v>
      </c>
      <c r="E35" s="1429">
        <v>12.7</v>
      </c>
      <c r="F35" s="1429">
        <v>61</v>
      </c>
      <c r="G35" s="1429">
        <v>26.3</v>
      </c>
      <c r="H35" s="1430">
        <f t="shared" si="30"/>
        <v>-1808</v>
      </c>
      <c r="I35" s="1430">
        <v>2470</v>
      </c>
      <c r="J35" s="1430">
        <v>4278</v>
      </c>
      <c r="K35" s="1417">
        <v>1.39</v>
      </c>
      <c r="L35" s="553">
        <f t="shared" si="29"/>
        <v>-44</v>
      </c>
      <c r="M35" s="1430">
        <v>13227</v>
      </c>
      <c r="N35" s="1430">
        <v>13271</v>
      </c>
      <c r="O35" s="1430">
        <v>163949</v>
      </c>
      <c r="P35" s="1411">
        <v>1.1000000000000001</v>
      </c>
      <c r="Q35" s="1430">
        <v>371920</v>
      </c>
      <c r="R35" s="703">
        <v>97.1</v>
      </c>
      <c r="S35" s="1459">
        <v>72.7</v>
      </c>
      <c r="T35" s="704">
        <v>262</v>
      </c>
      <c r="U35" s="1429">
        <v>62</v>
      </c>
      <c r="V35" s="521">
        <v>77.7</v>
      </c>
      <c r="W35" s="521">
        <v>4667.1000000000004</v>
      </c>
      <c r="X35" s="521">
        <v>200</v>
      </c>
      <c r="Y35" s="1429" t="s">
        <v>153</v>
      </c>
      <c r="Z35" s="1432" t="s">
        <v>153</v>
      </c>
      <c r="AA35" s="705">
        <v>43344</v>
      </c>
      <c r="AB35" s="1429">
        <v>4153</v>
      </c>
      <c r="AC35" s="1433">
        <v>5</v>
      </c>
      <c r="AD35" s="1432">
        <v>407.8</v>
      </c>
      <c r="AE35" s="554">
        <v>1410</v>
      </c>
      <c r="AF35" s="1434">
        <v>46.87</v>
      </c>
      <c r="AG35" s="1430">
        <v>276142</v>
      </c>
      <c r="AH35" s="1430">
        <v>5891.7</v>
      </c>
      <c r="AI35" s="1430">
        <v>6</v>
      </c>
      <c r="AJ35" s="559">
        <v>1</v>
      </c>
    </row>
    <row r="36" spans="1:36" ht="16.05" customHeight="1">
      <c r="A36" s="860" t="s">
        <v>198</v>
      </c>
      <c r="B36" s="563">
        <v>383789</v>
      </c>
      <c r="C36" s="635">
        <v>12831</v>
      </c>
      <c r="D36" s="1452">
        <v>-0.3</v>
      </c>
      <c r="E36" s="1452">
        <v>13.6</v>
      </c>
      <c r="F36" s="1452">
        <v>62.14</v>
      </c>
      <c r="G36" s="1452">
        <v>24.2</v>
      </c>
      <c r="H36" s="1393">
        <v>-629</v>
      </c>
      <c r="I36" s="1393">
        <v>2858</v>
      </c>
      <c r="J36" s="1393">
        <v>3487</v>
      </c>
      <c r="K36" s="1463">
        <v>1.46</v>
      </c>
      <c r="L36" s="563">
        <v>-304</v>
      </c>
      <c r="M36" s="1393">
        <v>15894</v>
      </c>
      <c r="N36" s="1393">
        <v>16198</v>
      </c>
      <c r="O36" s="1393">
        <v>168543</v>
      </c>
      <c r="P36" s="1471">
        <v>0.9</v>
      </c>
      <c r="Q36" s="1393">
        <v>384654</v>
      </c>
      <c r="R36" s="1044">
        <v>94.9</v>
      </c>
      <c r="S36" s="1380">
        <v>88.8</v>
      </c>
      <c r="T36" s="1055">
        <v>387.2</v>
      </c>
      <c r="U36" s="1452">
        <v>59.5</v>
      </c>
      <c r="V36" s="638">
        <v>86.418839518589635</v>
      </c>
      <c r="W36" s="638">
        <v>5574.2184873949582</v>
      </c>
      <c r="X36" s="638">
        <v>201.2</v>
      </c>
      <c r="Y36" s="1452">
        <v>0</v>
      </c>
      <c r="Z36" s="1453">
        <v>126.4</v>
      </c>
      <c r="AA36" s="1056">
        <v>43555</v>
      </c>
      <c r="AB36" s="1452">
        <v>5004</v>
      </c>
      <c r="AC36" s="1454">
        <v>11</v>
      </c>
      <c r="AD36" s="1453">
        <v>771</v>
      </c>
      <c r="AE36" s="627">
        <v>991.19</v>
      </c>
      <c r="AF36" s="1473">
        <v>52.4</v>
      </c>
      <c r="AG36" s="1393">
        <v>299580</v>
      </c>
      <c r="AH36" s="1393">
        <v>5717.1755725190842</v>
      </c>
      <c r="AI36" s="1393">
        <v>3</v>
      </c>
      <c r="AJ36" s="1058">
        <v>6</v>
      </c>
    </row>
    <row r="37" spans="1:36" ht="16.05" customHeight="1">
      <c r="A37" s="858" t="s">
        <v>199</v>
      </c>
      <c r="B37" s="553">
        <v>379538</v>
      </c>
      <c r="C37" s="561">
        <v>7488</v>
      </c>
      <c r="D37" s="1485">
        <v>-0.5</v>
      </c>
      <c r="E37" s="1429">
        <v>12.5</v>
      </c>
      <c r="F37" s="1429">
        <v>60.3</v>
      </c>
      <c r="G37" s="1429">
        <v>27.2</v>
      </c>
      <c r="H37" s="1430">
        <f t="shared" ref="H37" si="31">I37-J37</f>
        <v>-2299</v>
      </c>
      <c r="I37" s="1430">
        <v>2348</v>
      </c>
      <c r="J37" s="1430">
        <v>4647</v>
      </c>
      <c r="K37" s="1417">
        <v>1.33</v>
      </c>
      <c r="L37" s="553">
        <f t="shared" ref="L37" si="32">M37-N37</f>
        <v>358</v>
      </c>
      <c r="M37" s="1430">
        <v>12178</v>
      </c>
      <c r="N37" s="1430">
        <v>11820</v>
      </c>
      <c r="O37" s="1430">
        <v>166564</v>
      </c>
      <c r="P37" s="1411">
        <v>1</v>
      </c>
      <c r="Q37" s="1430">
        <v>380073</v>
      </c>
      <c r="R37" s="703">
        <v>85.4</v>
      </c>
      <c r="S37" s="1431">
        <v>76</v>
      </c>
      <c r="T37" s="704">
        <v>113.82</v>
      </c>
      <c r="U37" s="1429">
        <v>38.020000000000003</v>
      </c>
      <c r="V37" s="521">
        <v>61.377945815672255</v>
      </c>
      <c r="W37" s="521">
        <v>6129.3091004734342</v>
      </c>
      <c r="X37" s="521">
        <v>75.8</v>
      </c>
      <c r="Y37" s="1429" t="s">
        <v>148</v>
      </c>
      <c r="Z37" s="1432" t="s">
        <v>148</v>
      </c>
      <c r="AA37" s="705">
        <v>44044</v>
      </c>
      <c r="AB37" s="1429">
        <v>3171.5</v>
      </c>
      <c r="AC37" s="1433">
        <v>7</v>
      </c>
      <c r="AD37" s="1432">
        <v>438.5</v>
      </c>
      <c r="AE37" s="554">
        <v>3334.545774029169</v>
      </c>
      <c r="AF37" s="1434">
        <v>50.76</v>
      </c>
      <c r="AG37" s="1430">
        <v>276660</v>
      </c>
      <c r="AH37" s="1430">
        <v>5450.4</v>
      </c>
      <c r="AI37" s="1430">
        <v>1</v>
      </c>
      <c r="AJ37" s="559" t="s">
        <v>200</v>
      </c>
    </row>
    <row r="38" spans="1:36" ht="16.05" customHeight="1">
      <c r="A38" s="860" t="s">
        <v>201</v>
      </c>
      <c r="B38" s="563">
        <v>416747</v>
      </c>
      <c r="C38" s="635">
        <v>18740</v>
      </c>
      <c r="D38" s="1452">
        <v>-0.36</v>
      </c>
      <c r="E38" s="1452">
        <v>12.9</v>
      </c>
      <c r="F38" s="1452">
        <v>62.9</v>
      </c>
      <c r="G38" s="1452">
        <v>24.2</v>
      </c>
      <c r="H38" s="1393">
        <v>-860</v>
      </c>
      <c r="I38" s="1393">
        <v>2900</v>
      </c>
      <c r="J38" s="1393">
        <v>3760</v>
      </c>
      <c r="K38" s="1463">
        <v>1.42</v>
      </c>
      <c r="L38" s="563">
        <v>-815</v>
      </c>
      <c r="M38" s="1393">
        <v>17364</v>
      </c>
      <c r="N38" s="1393">
        <v>18179</v>
      </c>
      <c r="O38" s="1393">
        <v>184884</v>
      </c>
      <c r="P38" s="1471">
        <v>0.9</v>
      </c>
      <c r="Q38" s="1393">
        <v>422330</v>
      </c>
      <c r="R38" s="1044">
        <v>111.1</v>
      </c>
      <c r="S38" s="1451">
        <v>79</v>
      </c>
      <c r="T38" s="1055">
        <v>918.32</v>
      </c>
      <c r="U38" s="1452">
        <v>53.2</v>
      </c>
      <c r="V38" s="638" t="s">
        <v>181</v>
      </c>
      <c r="W38" s="1452" t="s">
        <v>181</v>
      </c>
      <c r="X38" s="638">
        <v>302.45999999999998</v>
      </c>
      <c r="Y38" s="1452" t="s">
        <v>148</v>
      </c>
      <c r="Z38" s="1453">
        <v>562.63</v>
      </c>
      <c r="AA38" s="1056">
        <v>43555</v>
      </c>
      <c r="AB38" s="1452">
        <v>4170</v>
      </c>
      <c r="AC38" s="1454">
        <v>9</v>
      </c>
      <c r="AD38" s="1453">
        <v>1478</v>
      </c>
      <c r="AE38" s="627">
        <v>453.81358608418401</v>
      </c>
      <c r="AF38" s="1473">
        <v>40.5</v>
      </c>
      <c r="AG38" s="1393">
        <v>246109</v>
      </c>
      <c r="AH38" s="1393">
        <v>6077</v>
      </c>
      <c r="AI38" s="1393">
        <v>4</v>
      </c>
      <c r="AJ38" s="1058" t="s">
        <v>202</v>
      </c>
    </row>
    <row r="39" spans="1:36" ht="16.05" customHeight="1">
      <c r="A39" s="858" t="s">
        <v>203</v>
      </c>
      <c r="B39" s="553">
        <v>343839</v>
      </c>
      <c r="C39" s="561">
        <v>5001</v>
      </c>
      <c r="D39" s="1429">
        <v>0.01</v>
      </c>
      <c r="E39" s="1429">
        <v>13.1</v>
      </c>
      <c r="F39" s="1429">
        <v>59.5</v>
      </c>
      <c r="G39" s="1429">
        <v>27.4</v>
      </c>
      <c r="H39" s="1430">
        <f t="shared" ref="H39:H40" si="33">I39-J39</f>
        <v>-1232</v>
      </c>
      <c r="I39" s="1430">
        <v>2360</v>
      </c>
      <c r="J39" s="1430">
        <v>3592</v>
      </c>
      <c r="K39" s="1417">
        <v>1.41</v>
      </c>
      <c r="L39" s="553">
        <f t="shared" ref="L39:L40" si="34">M39-N39</f>
        <v>1516</v>
      </c>
      <c r="M39" s="1430">
        <v>13174</v>
      </c>
      <c r="N39" s="1430">
        <v>11658</v>
      </c>
      <c r="O39" s="1430">
        <v>156166</v>
      </c>
      <c r="P39" s="1411">
        <v>1.2</v>
      </c>
      <c r="Q39" s="1430">
        <v>345070</v>
      </c>
      <c r="R39" s="703">
        <v>90.810270000000003</v>
      </c>
      <c r="S39" s="1431">
        <v>53</v>
      </c>
      <c r="T39" s="704">
        <v>464.51</v>
      </c>
      <c r="U39" s="1429">
        <v>58.8</v>
      </c>
      <c r="V39" s="521" t="s">
        <v>148</v>
      </c>
      <c r="W39" s="1429" t="s">
        <v>148</v>
      </c>
      <c r="X39" s="1429">
        <v>270.3</v>
      </c>
      <c r="Y39" s="1429" t="s">
        <v>148</v>
      </c>
      <c r="Z39" s="1432">
        <v>135.4</v>
      </c>
      <c r="AA39" s="705">
        <v>44287</v>
      </c>
      <c r="AB39" s="1429">
        <v>3480</v>
      </c>
      <c r="AC39" s="1433">
        <v>6</v>
      </c>
      <c r="AD39" s="1432">
        <v>541</v>
      </c>
      <c r="AE39" s="554">
        <v>740.21872510817855</v>
      </c>
      <c r="AF39" s="1434">
        <v>41.21</v>
      </c>
      <c r="AG39" s="1430">
        <v>280334</v>
      </c>
      <c r="AH39" s="1430">
        <v>6802.6</v>
      </c>
      <c r="AI39" s="1430">
        <v>5</v>
      </c>
      <c r="AJ39" s="559" t="s">
        <v>153</v>
      </c>
    </row>
    <row r="40" spans="1:36" ht="16.05" customHeight="1">
      <c r="A40" s="860" t="s">
        <v>204</v>
      </c>
      <c r="B40" s="563">
        <v>406931</v>
      </c>
      <c r="C40" s="635">
        <v>6742</v>
      </c>
      <c r="D40" s="1452">
        <v>-0.2</v>
      </c>
      <c r="E40" s="1452">
        <v>13.5</v>
      </c>
      <c r="F40" s="1452">
        <v>60.8</v>
      </c>
      <c r="G40" s="1452">
        <v>25.8</v>
      </c>
      <c r="H40" s="1393">
        <f t="shared" si="33"/>
        <v>-1393</v>
      </c>
      <c r="I40" s="1393">
        <v>3048</v>
      </c>
      <c r="J40" s="1393">
        <v>4441</v>
      </c>
      <c r="K40" s="1463">
        <v>1.33</v>
      </c>
      <c r="L40" s="563">
        <f t="shared" si="34"/>
        <v>385</v>
      </c>
      <c r="M40" s="1393">
        <v>19735</v>
      </c>
      <c r="N40" s="1393">
        <v>19350</v>
      </c>
      <c r="O40" s="1393">
        <v>196796</v>
      </c>
      <c r="P40" s="1471">
        <v>0.5</v>
      </c>
      <c r="Q40" s="1393">
        <v>401558</v>
      </c>
      <c r="R40" s="1376">
        <v>88.9</v>
      </c>
      <c r="S40" s="1380">
        <v>36</v>
      </c>
      <c r="T40" s="1055">
        <v>36.6</v>
      </c>
      <c r="U40" s="1452">
        <v>36.6</v>
      </c>
      <c r="V40" s="638">
        <v>100</v>
      </c>
      <c r="W40" s="1452">
        <v>11118</v>
      </c>
      <c r="X40" s="638" t="s">
        <v>153</v>
      </c>
      <c r="Y40" s="1452" t="s">
        <v>153</v>
      </c>
      <c r="Z40" s="1453" t="s">
        <v>153</v>
      </c>
      <c r="AA40" s="1056">
        <v>43466</v>
      </c>
      <c r="AB40" s="1452">
        <v>3070.2</v>
      </c>
      <c r="AC40" s="1454">
        <v>7</v>
      </c>
      <c r="AD40" s="1453">
        <v>863.7</v>
      </c>
      <c r="AE40" s="627">
        <v>11118</v>
      </c>
      <c r="AF40" s="1473">
        <v>36.6</v>
      </c>
      <c r="AG40" s="635">
        <v>401558</v>
      </c>
      <c r="AH40" s="1393">
        <v>10971.530054644809</v>
      </c>
      <c r="AI40" s="1393">
        <v>1</v>
      </c>
      <c r="AJ40" s="1058">
        <v>9</v>
      </c>
    </row>
    <row r="41" spans="1:36" ht="16.05" customHeight="1">
      <c r="A41" s="858" t="s">
        <v>205</v>
      </c>
      <c r="B41" s="553">
        <v>381238</v>
      </c>
      <c r="C41" s="561">
        <v>6443</v>
      </c>
      <c r="D41" s="1408">
        <v>0.6</v>
      </c>
      <c r="E41" s="1408">
        <v>13.7</v>
      </c>
      <c r="F41" s="1408">
        <v>62.6</v>
      </c>
      <c r="G41" s="1408">
        <v>23.7</v>
      </c>
      <c r="H41" s="1430" t="s">
        <v>206</v>
      </c>
      <c r="I41" s="1430">
        <v>2987</v>
      </c>
      <c r="J41" s="1430">
        <v>3540</v>
      </c>
      <c r="K41" s="1417">
        <v>1.31</v>
      </c>
      <c r="L41" s="553">
        <v>3000</v>
      </c>
      <c r="M41" s="1430">
        <v>23583</v>
      </c>
      <c r="N41" s="1430">
        <v>20583</v>
      </c>
      <c r="O41" s="1430">
        <v>182636</v>
      </c>
      <c r="P41" s="1486">
        <v>1.8</v>
      </c>
      <c r="Q41" s="1430">
        <v>385567</v>
      </c>
      <c r="R41" s="703">
        <v>96.2</v>
      </c>
      <c r="S41" s="1431">
        <v>43.4</v>
      </c>
      <c r="T41" s="704">
        <v>36.090000000000003</v>
      </c>
      <c r="U41" s="1434">
        <v>36.090000000000003</v>
      </c>
      <c r="V41" s="521">
        <v>100</v>
      </c>
      <c r="W41" s="1429">
        <v>10563</v>
      </c>
      <c r="X41" s="521" t="s">
        <v>148</v>
      </c>
      <c r="Y41" s="1429" t="s">
        <v>148</v>
      </c>
      <c r="Z41" s="1432" t="s">
        <v>148</v>
      </c>
      <c r="AA41" s="705" t="s">
        <v>207</v>
      </c>
      <c r="AB41" s="1429">
        <v>3310</v>
      </c>
      <c r="AC41" s="1433">
        <v>7</v>
      </c>
      <c r="AD41" s="1432">
        <v>1714</v>
      </c>
      <c r="AE41" s="554">
        <v>10563</v>
      </c>
      <c r="AF41" s="1434">
        <v>36.090000000000003</v>
      </c>
      <c r="AG41" s="1430">
        <v>381238</v>
      </c>
      <c r="AH41" s="1430">
        <v>10563</v>
      </c>
      <c r="AI41" s="1430">
        <v>2</v>
      </c>
      <c r="AJ41" s="559">
        <v>6</v>
      </c>
    </row>
    <row r="42" spans="1:36" ht="16.05" customHeight="1">
      <c r="A42" s="860" t="s">
        <v>208</v>
      </c>
      <c r="B42" s="563">
        <v>348020</v>
      </c>
      <c r="C42" s="635">
        <v>3959</v>
      </c>
      <c r="D42" s="1407">
        <v>-0.31</v>
      </c>
      <c r="E42" s="1407">
        <v>12</v>
      </c>
      <c r="F42" s="1407">
        <v>58.7</v>
      </c>
      <c r="G42" s="1407">
        <v>29.3</v>
      </c>
      <c r="H42" s="1393">
        <f>I42-J42</f>
        <v>-1724</v>
      </c>
      <c r="I42" s="1393">
        <v>2296</v>
      </c>
      <c r="J42" s="1393">
        <v>4020</v>
      </c>
      <c r="K42" s="1463">
        <v>1.43</v>
      </c>
      <c r="L42" s="563">
        <f>M42-N42</f>
        <v>313</v>
      </c>
      <c r="M42" s="1393">
        <v>11464</v>
      </c>
      <c r="N42" s="1393">
        <v>11151</v>
      </c>
      <c r="O42" s="1393">
        <v>164494</v>
      </c>
      <c r="P42" s="1487">
        <v>0.82</v>
      </c>
      <c r="Q42" s="1393">
        <v>352698</v>
      </c>
      <c r="R42" s="1044">
        <v>87.8</v>
      </c>
      <c r="S42" s="1380">
        <v>54.8</v>
      </c>
      <c r="T42" s="1055">
        <v>105.29</v>
      </c>
      <c r="U42" s="1452">
        <v>33.4</v>
      </c>
      <c r="V42" s="638">
        <v>96.4</v>
      </c>
      <c r="W42" s="1452">
        <v>10032</v>
      </c>
      <c r="X42" s="638">
        <v>71.900000000000006</v>
      </c>
      <c r="Y42" s="1452" t="s">
        <v>153</v>
      </c>
      <c r="Z42" s="1452" t="s">
        <v>153</v>
      </c>
      <c r="AA42" s="1056">
        <v>45016</v>
      </c>
      <c r="AB42" s="1407">
        <v>3102.2</v>
      </c>
      <c r="AC42" s="1454">
        <v>14</v>
      </c>
      <c r="AD42" s="1407">
        <v>403.9</v>
      </c>
      <c r="AE42" s="627">
        <v>3305.3</v>
      </c>
      <c r="AF42" s="1473">
        <v>32.590000000000003</v>
      </c>
      <c r="AG42" s="1393">
        <v>335860</v>
      </c>
      <c r="AH42" s="1393">
        <v>10305.6</v>
      </c>
      <c r="AI42" s="1393">
        <v>3</v>
      </c>
      <c r="AJ42" s="1058">
        <v>2</v>
      </c>
    </row>
    <row r="43" spans="1:36" ht="16.05" customHeight="1">
      <c r="A43" s="858" t="s">
        <v>209</v>
      </c>
      <c r="B43" s="553">
        <v>395300</v>
      </c>
      <c r="C43" s="561">
        <v>5742</v>
      </c>
      <c r="D43" s="1408">
        <v>-0.23</v>
      </c>
      <c r="E43" s="1408">
        <v>12</v>
      </c>
      <c r="F43" s="1408">
        <v>59.1</v>
      </c>
      <c r="G43" s="1408">
        <v>28.87</v>
      </c>
      <c r="H43" s="1430">
        <f t="shared" ref="H43:H45" si="35">I43-J43</f>
        <v>-2121</v>
      </c>
      <c r="I43" s="1430">
        <v>2408</v>
      </c>
      <c r="J43" s="1430">
        <v>4529</v>
      </c>
      <c r="K43" s="1417">
        <v>1.27</v>
      </c>
      <c r="L43" s="553">
        <f t="shared" ref="L43:L50" si="36">M43-N43</f>
        <v>639</v>
      </c>
      <c r="M43" s="1430">
        <v>13989</v>
      </c>
      <c r="N43" s="1430">
        <v>13350</v>
      </c>
      <c r="O43" s="1430">
        <v>185118</v>
      </c>
      <c r="P43" s="1486">
        <v>0.11</v>
      </c>
      <c r="Q43" s="1430">
        <v>397289</v>
      </c>
      <c r="R43" s="703">
        <v>89.557980000000001</v>
      </c>
      <c r="S43" s="1431">
        <v>65</v>
      </c>
      <c r="T43" s="1066">
        <v>65.12</v>
      </c>
      <c r="U43" s="1067">
        <v>41.92</v>
      </c>
      <c r="V43" s="521">
        <v>98.93</v>
      </c>
      <c r="W43" s="1429">
        <v>9328.98</v>
      </c>
      <c r="X43" s="1068">
        <v>23.2</v>
      </c>
      <c r="Y43" s="1429" t="s">
        <v>153</v>
      </c>
      <c r="Z43" s="1432" t="s">
        <v>153</v>
      </c>
      <c r="AA43" s="1061" t="s">
        <v>210</v>
      </c>
      <c r="AB43" s="1429">
        <v>3595</v>
      </c>
      <c r="AC43" s="1433">
        <v>13</v>
      </c>
      <c r="AD43" s="1432">
        <v>861</v>
      </c>
      <c r="AE43" s="554">
        <v>6070.3316000000004</v>
      </c>
      <c r="AF43" s="1434">
        <v>43.27</v>
      </c>
      <c r="AG43" s="1430">
        <v>386789</v>
      </c>
      <c r="AH43" s="1430">
        <v>8939</v>
      </c>
      <c r="AI43" s="1430">
        <v>3</v>
      </c>
      <c r="AJ43" s="559">
        <v>3</v>
      </c>
    </row>
    <row r="44" spans="1:36" ht="16.05" customHeight="1">
      <c r="A44" s="860" t="s">
        <v>211</v>
      </c>
      <c r="B44" s="563">
        <v>261197</v>
      </c>
      <c r="C44" s="635">
        <v>8101</v>
      </c>
      <c r="D44" s="1452">
        <v>-0.6</v>
      </c>
      <c r="E44" s="1452">
        <v>12</v>
      </c>
      <c r="F44" s="1452">
        <v>59.7</v>
      </c>
      <c r="G44" s="1452">
        <v>28.3</v>
      </c>
      <c r="H44" s="1393">
        <f t="shared" si="35"/>
        <v>-1734</v>
      </c>
      <c r="I44" s="1393">
        <v>1755</v>
      </c>
      <c r="J44" s="1393">
        <v>3489</v>
      </c>
      <c r="K44" s="1463">
        <v>1.4</v>
      </c>
      <c r="L44" s="563">
        <f t="shared" si="36"/>
        <v>-406</v>
      </c>
      <c r="M44" s="1393">
        <v>7963</v>
      </c>
      <c r="N44" s="1393">
        <v>8369</v>
      </c>
      <c r="O44" s="1393">
        <v>127300</v>
      </c>
      <c r="P44" s="1471">
        <v>0.6</v>
      </c>
      <c r="Q44" s="1393">
        <v>264642</v>
      </c>
      <c r="R44" s="1044">
        <v>94.6</v>
      </c>
      <c r="S44" s="1380">
        <v>55.2</v>
      </c>
      <c r="T44" s="1055">
        <v>41.72</v>
      </c>
      <c r="U44" s="1452">
        <v>27.7</v>
      </c>
      <c r="V44" s="638">
        <v>97</v>
      </c>
      <c r="W44" s="1452">
        <v>9146.6</v>
      </c>
      <c r="X44" s="638">
        <v>14.1</v>
      </c>
      <c r="Y44" s="1452">
        <v>0</v>
      </c>
      <c r="Z44" s="1453">
        <v>0</v>
      </c>
      <c r="AA44" s="1056" t="s">
        <v>212</v>
      </c>
      <c r="AB44" s="1452" t="s">
        <v>213</v>
      </c>
      <c r="AC44" s="1454">
        <v>9</v>
      </c>
      <c r="AD44" s="1453">
        <v>916</v>
      </c>
      <c r="AE44" s="627">
        <v>6261</v>
      </c>
      <c r="AF44" s="1473">
        <v>31.26</v>
      </c>
      <c r="AG44" s="1393">
        <v>259657</v>
      </c>
      <c r="AH44" s="1393">
        <v>8306</v>
      </c>
      <c r="AI44" s="1393">
        <v>2</v>
      </c>
      <c r="AJ44" s="1058">
        <v>4</v>
      </c>
    </row>
    <row r="45" spans="1:36" ht="16.05" customHeight="1">
      <c r="A45" s="858" t="s">
        <v>214</v>
      </c>
      <c r="B45" s="553">
        <v>226693</v>
      </c>
      <c r="C45" s="561">
        <v>3319</v>
      </c>
      <c r="D45" s="1429">
        <v>-0.8</v>
      </c>
      <c r="E45" s="1429">
        <v>11.1</v>
      </c>
      <c r="F45" s="1429">
        <v>58.8</v>
      </c>
      <c r="G45" s="1429">
        <v>30.1</v>
      </c>
      <c r="H45" s="1430">
        <f t="shared" si="35"/>
        <v>-1554</v>
      </c>
      <c r="I45" s="1430">
        <v>1399</v>
      </c>
      <c r="J45" s="1430">
        <v>2953</v>
      </c>
      <c r="K45" s="1417">
        <v>1.32</v>
      </c>
      <c r="L45" s="553">
        <f t="shared" si="36"/>
        <v>-34</v>
      </c>
      <c r="M45" s="1430">
        <v>7508</v>
      </c>
      <c r="N45" s="1430">
        <v>7542</v>
      </c>
      <c r="O45" s="1430">
        <v>112275</v>
      </c>
      <c r="P45" s="1411">
        <v>0.5</v>
      </c>
      <c r="Q45" s="1430">
        <v>229733</v>
      </c>
      <c r="R45" s="703">
        <v>88.5</v>
      </c>
      <c r="S45" s="1488">
        <v>82</v>
      </c>
      <c r="T45" s="704">
        <v>24.7</v>
      </c>
      <c r="U45" s="1411">
        <v>21.6</v>
      </c>
      <c r="V45" s="1411">
        <v>99.7</v>
      </c>
      <c r="W45" s="1411">
        <v>10599.4</v>
      </c>
      <c r="X45" s="1411">
        <v>3.1</v>
      </c>
      <c r="Y45" s="1429" t="s">
        <v>148</v>
      </c>
      <c r="Z45" s="1432" t="s">
        <v>148</v>
      </c>
      <c r="AA45" s="705">
        <v>43191</v>
      </c>
      <c r="AB45" s="1429">
        <v>2017</v>
      </c>
      <c r="AC45" s="1433">
        <v>7</v>
      </c>
      <c r="AD45" s="1432">
        <v>361</v>
      </c>
      <c r="AE45" s="554">
        <v>9177</v>
      </c>
      <c r="AF45" s="1434">
        <v>22.77</v>
      </c>
      <c r="AG45" s="1430">
        <v>227418</v>
      </c>
      <c r="AH45" s="1430">
        <v>9987</v>
      </c>
      <c r="AI45" s="1430">
        <v>3</v>
      </c>
      <c r="AJ45" s="559">
        <v>1</v>
      </c>
    </row>
    <row r="46" spans="1:36" ht="16.05" customHeight="1">
      <c r="A46" s="860" t="s">
        <v>215</v>
      </c>
      <c r="B46" s="563">
        <v>479294</v>
      </c>
      <c r="C46" s="635">
        <v>19592</v>
      </c>
      <c r="D46" s="1452">
        <v>-0.4</v>
      </c>
      <c r="E46" s="1452">
        <v>10.7</v>
      </c>
      <c r="F46" s="1452">
        <v>61.2</v>
      </c>
      <c r="G46" s="1452">
        <v>28.1</v>
      </c>
      <c r="H46" s="1393">
        <v>-3445</v>
      </c>
      <c r="I46" s="1393">
        <v>2986</v>
      </c>
      <c r="J46" s="1393">
        <v>6431</v>
      </c>
      <c r="K46" s="1463">
        <v>1.26</v>
      </c>
      <c r="L46" s="563">
        <f t="shared" si="36"/>
        <v>2634</v>
      </c>
      <c r="M46" s="1393">
        <v>18786</v>
      </c>
      <c r="N46" s="1393">
        <v>16152</v>
      </c>
      <c r="O46" s="1393">
        <v>246509</v>
      </c>
      <c r="P46" s="1471">
        <v>1</v>
      </c>
      <c r="Q46" s="1393">
        <v>493940</v>
      </c>
      <c r="R46" s="1044">
        <v>102.7</v>
      </c>
      <c r="S46" s="1380">
        <v>62.29</v>
      </c>
      <c r="T46" s="1055">
        <v>61.78</v>
      </c>
      <c r="U46" s="1452">
        <v>49.8</v>
      </c>
      <c r="V46" s="638">
        <v>99.9</v>
      </c>
      <c r="W46" s="638">
        <v>9755.7000000000007</v>
      </c>
      <c r="X46" s="638">
        <v>12</v>
      </c>
      <c r="Y46" s="1452" t="s">
        <v>148</v>
      </c>
      <c r="Z46" s="1453" t="s">
        <v>148</v>
      </c>
      <c r="AA46" s="1065">
        <v>45016</v>
      </c>
      <c r="AB46" s="1452">
        <v>2969</v>
      </c>
      <c r="AC46" s="1454">
        <v>7</v>
      </c>
      <c r="AD46" s="1453">
        <v>536</v>
      </c>
      <c r="AE46" s="627">
        <v>7758</v>
      </c>
      <c r="AF46" s="1473">
        <v>49.42</v>
      </c>
      <c r="AG46" s="1393">
        <v>492760</v>
      </c>
      <c r="AH46" s="1393">
        <v>9971</v>
      </c>
      <c r="AI46" s="1393">
        <v>2</v>
      </c>
      <c r="AJ46" s="1058">
        <v>0</v>
      </c>
    </row>
    <row r="47" spans="1:36" ht="16.05" customHeight="1">
      <c r="A47" s="858" t="s">
        <v>216</v>
      </c>
      <c r="B47" s="553">
        <v>527088</v>
      </c>
      <c r="C47" s="561">
        <v>12258</v>
      </c>
      <c r="D47" s="1429">
        <v>-0.44</v>
      </c>
      <c r="E47" s="1429">
        <v>12.7</v>
      </c>
      <c r="F47" s="1429">
        <v>60</v>
      </c>
      <c r="G47" s="1429">
        <v>27.3</v>
      </c>
      <c r="H47" s="1430">
        <f t="shared" ref="H47:H50" si="37">I47-J47</f>
        <v>-2677</v>
      </c>
      <c r="I47" s="1430">
        <v>3645</v>
      </c>
      <c r="J47" s="1430">
        <v>6322</v>
      </c>
      <c r="K47" s="1417">
        <v>1.48</v>
      </c>
      <c r="L47" s="553">
        <f t="shared" si="36"/>
        <v>295</v>
      </c>
      <c r="M47" s="1430">
        <v>15581</v>
      </c>
      <c r="N47" s="1430">
        <v>15286</v>
      </c>
      <c r="O47" s="1430">
        <v>246237</v>
      </c>
      <c r="P47" s="1411">
        <v>1</v>
      </c>
      <c r="Q47" s="1430">
        <v>530495</v>
      </c>
      <c r="R47" s="703">
        <v>100.2</v>
      </c>
      <c r="S47" s="1431">
        <v>89.4</v>
      </c>
      <c r="T47" s="704">
        <v>534.35</v>
      </c>
      <c r="U47" s="1429">
        <v>110.6</v>
      </c>
      <c r="V47" s="521">
        <v>90.7</v>
      </c>
      <c r="W47" s="521">
        <v>4140.3999999999996</v>
      </c>
      <c r="X47" s="521">
        <v>197</v>
      </c>
      <c r="Y47" s="1429" t="s">
        <v>148</v>
      </c>
      <c r="Z47" s="1432">
        <v>226.8</v>
      </c>
      <c r="AA47" s="705" t="s">
        <v>217</v>
      </c>
      <c r="AB47" s="1429">
        <v>8362</v>
      </c>
      <c r="AC47" s="1433">
        <v>14</v>
      </c>
      <c r="AD47" s="1432">
        <v>1077</v>
      </c>
      <c r="AE47" s="554">
        <v>986.4</v>
      </c>
      <c r="AF47" s="1434">
        <v>96.14</v>
      </c>
      <c r="AG47" s="1430">
        <v>392599</v>
      </c>
      <c r="AH47" s="1430">
        <v>4083.6</v>
      </c>
      <c r="AI47" s="1430">
        <v>6</v>
      </c>
      <c r="AJ47" s="559">
        <v>2</v>
      </c>
    </row>
    <row r="48" spans="1:36" ht="16.05" customHeight="1">
      <c r="A48" s="860" t="s">
        <v>218</v>
      </c>
      <c r="B48" s="563">
        <v>458313</v>
      </c>
      <c r="C48" s="635">
        <v>12368</v>
      </c>
      <c r="D48" s="1452">
        <v>-0.2</v>
      </c>
      <c r="E48" s="1452">
        <v>11.2</v>
      </c>
      <c r="F48" s="1452">
        <v>61.3</v>
      </c>
      <c r="G48" s="1452">
        <v>27.5</v>
      </c>
      <c r="H48" s="1393">
        <f t="shared" si="37"/>
        <v>-2578</v>
      </c>
      <c r="I48" s="1393">
        <v>3367</v>
      </c>
      <c r="J48" s="1462">
        <v>5945</v>
      </c>
      <c r="K48" s="1463">
        <v>1.35</v>
      </c>
      <c r="L48" s="563">
        <f t="shared" si="36"/>
        <v>1325</v>
      </c>
      <c r="M48" s="1393">
        <v>19645</v>
      </c>
      <c r="N48" s="1393">
        <v>18320</v>
      </c>
      <c r="O48" s="1393">
        <v>240821</v>
      </c>
      <c r="P48" s="1471">
        <v>0.9</v>
      </c>
      <c r="Q48" s="1489">
        <v>459593</v>
      </c>
      <c r="R48" s="1069">
        <v>96.6</v>
      </c>
      <c r="S48" s="1380">
        <v>43</v>
      </c>
      <c r="T48" s="1055">
        <v>50.71</v>
      </c>
      <c r="U48" s="1452">
        <v>47.09</v>
      </c>
      <c r="V48" s="638">
        <v>100</v>
      </c>
      <c r="W48" s="1452">
        <v>9732.7000000000007</v>
      </c>
      <c r="X48" s="638">
        <v>3.62</v>
      </c>
      <c r="Y48" s="1452" t="s">
        <v>153</v>
      </c>
      <c r="Z48" s="1453">
        <v>0</v>
      </c>
      <c r="AA48" s="1056">
        <v>42825</v>
      </c>
      <c r="AB48" s="1452">
        <v>3391</v>
      </c>
      <c r="AC48" s="1454">
        <v>7</v>
      </c>
      <c r="AD48" s="1453">
        <v>508</v>
      </c>
      <c r="AE48" s="627">
        <v>9036</v>
      </c>
      <c r="AF48" s="1473">
        <v>50.72</v>
      </c>
      <c r="AG48" s="1393">
        <v>459593</v>
      </c>
      <c r="AH48" s="1393">
        <v>9061</v>
      </c>
      <c r="AI48" s="1393">
        <v>2</v>
      </c>
      <c r="AJ48" s="1058" t="s">
        <v>153</v>
      </c>
    </row>
    <row r="49" spans="1:36" ht="16.05" customHeight="1">
      <c r="A49" s="858" t="s">
        <v>219</v>
      </c>
      <c r="B49" s="553">
        <v>305861</v>
      </c>
      <c r="C49" s="561">
        <v>3621</v>
      </c>
      <c r="D49" s="1429">
        <v>0.3</v>
      </c>
      <c r="E49" s="1429">
        <v>14.023</v>
      </c>
      <c r="F49" s="1429">
        <v>59.8</v>
      </c>
      <c r="G49" s="1429">
        <v>26.2</v>
      </c>
      <c r="H49" s="1430">
        <f t="shared" si="37"/>
        <v>-745</v>
      </c>
      <c r="I49" s="1430">
        <v>2596</v>
      </c>
      <c r="J49" s="1430">
        <v>3341</v>
      </c>
      <c r="K49" s="1417">
        <v>1.62</v>
      </c>
      <c r="L49" s="553">
        <f t="shared" si="36"/>
        <v>1300</v>
      </c>
      <c r="M49" s="1430">
        <v>11504</v>
      </c>
      <c r="N49" s="1430">
        <v>10204</v>
      </c>
      <c r="O49" s="1430">
        <v>142766</v>
      </c>
      <c r="P49" s="1411">
        <v>1.03</v>
      </c>
      <c r="Q49" s="1430">
        <v>303601</v>
      </c>
      <c r="R49" s="1429">
        <v>90.5</v>
      </c>
      <c r="S49" s="1431">
        <v>64.87</v>
      </c>
      <c r="T49" s="704">
        <v>49.42</v>
      </c>
      <c r="U49" s="1429">
        <v>38.89</v>
      </c>
      <c r="V49" s="521">
        <v>98.3</v>
      </c>
      <c r="W49" s="1429">
        <v>7689</v>
      </c>
      <c r="X49" s="521">
        <v>10.53</v>
      </c>
      <c r="Y49" s="1429" t="s">
        <v>153</v>
      </c>
      <c r="Z49" s="1432" t="s">
        <v>153</v>
      </c>
      <c r="AA49" s="705">
        <v>45017</v>
      </c>
      <c r="AB49" s="1429">
        <v>3481</v>
      </c>
      <c r="AC49" s="1433">
        <v>5</v>
      </c>
      <c r="AD49" s="1432">
        <v>417</v>
      </c>
      <c r="AE49" s="554">
        <v>6189</v>
      </c>
      <c r="AF49" s="1434">
        <v>37.64</v>
      </c>
      <c r="AG49" s="1430">
        <v>289204</v>
      </c>
      <c r="AH49" s="1430">
        <v>7683</v>
      </c>
      <c r="AI49" s="1430">
        <v>2</v>
      </c>
      <c r="AJ49" s="559" t="s">
        <v>153</v>
      </c>
    </row>
    <row r="50" spans="1:36" ht="16.05" customHeight="1">
      <c r="A50" s="860" t="s">
        <v>220</v>
      </c>
      <c r="B50" s="563">
        <v>482226</v>
      </c>
      <c r="C50" s="635">
        <v>7911</v>
      </c>
      <c r="D50" s="1452">
        <v>0</v>
      </c>
      <c r="E50" s="1452">
        <v>13.1</v>
      </c>
      <c r="F50" s="1452">
        <v>62.4</v>
      </c>
      <c r="G50" s="1452">
        <v>24.5</v>
      </c>
      <c r="H50" s="1393">
        <f t="shared" si="37"/>
        <v>-1359</v>
      </c>
      <c r="I50" s="1393">
        <v>3384</v>
      </c>
      <c r="J50" s="1462">
        <v>4743</v>
      </c>
      <c r="K50" s="1463">
        <v>1.32</v>
      </c>
      <c r="L50" s="563">
        <f t="shared" si="36"/>
        <v>862</v>
      </c>
      <c r="M50" s="1393">
        <v>21231</v>
      </c>
      <c r="N50" s="1393">
        <v>20369</v>
      </c>
      <c r="O50" s="1393">
        <v>227794</v>
      </c>
      <c r="P50" s="1471">
        <v>1</v>
      </c>
      <c r="Q50" s="1393">
        <v>485587</v>
      </c>
      <c r="R50" s="1044">
        <v>88.6</v>
      </c>
      <c r="S50" s="1490">
        <v>68</v>
      </c>
      <c r="T50" s="1055">
        <v>100.18</v>
      </c>
      <c r="U50" s="1452">
        <v>52.19</v>
      </c>
      <c r="V50" s="638">
        <v>99.6</v>
      </c>
      <c r="W50" s="1452">
        <v>9202.856792488983</v>
      </c>
      <c r="X50" s="638">
        <v>48.06</v>
      </c>
      <c r="Y50" s="1452">
        <v>0</v>
      </c>
      <c r="Z50" s="1453">
        <v>0</v>
      </c>
      <c r="AA50" s="1056">
        <v>43647</v>
      </c>
      <c r="AB50" s="1452">
        <v>4455</v>
      </c>
      <c r="AC50" s="1454">
        <v>8</v>
      </c>
      <c r="AD50" s="1453">
        <v>1953</v>
      </c>
      <c r="AE50" s="627">
        <f>B50/T50</f>
        <v>4813.5955280495109</v>
      </c>
      <c r="AF50" s="1473">
        <v>41.43</v>
      </c>
      <c r="AG50" s="1393">
        <v>454756</v>
      </c>
      <c r="AH50" s="1393">
        <v>10977</v>
      </c>
      <c r="AI50" s="1393">
        <v>4</v>
      </c>
      <c r="AJ50" s="1058">
        <v>2</v>
      </c>
    </row>
    <row r="51" spans="1:36" ht="16.05" customHeight="1">
      <c r="A51" s="858" t="s">
        <v>221</v>
      </c>
      <c r="B51" s="1070">
        <v>350318</v>
      </c>
      <c r="C51" s="1071">
        <v>4205</v>
      </c>
      <c r="D51" s="1485" t="s">
        <v>222</v>
      </c>
      <c r="E51" s="1485">
        <v>11.1</v>
      </c>
      <c r="F51" s="1485">
        <v>57</v>
      </c>
      <c r="G51" s="1485">
        <v>31.9</v>
      </c>
      <c r="H51" s="1491">
        <v>-2582</v>
      </c>
      <c r="I51" s="1491">
        <v>1963</v>
      </c>
      <c r="J51" s="1492">
        <v>4545</v>
      </c>
      <c r="K51" s="1493">
        <v>1.19</v>
      </c>
      <c r="L51" s="1070">
        <f>M51-N51</f>
        <v>850</v>
      </c>
      <c r="M51" s="1491">
        <v>12426</v>
      </c>
      <c r="N51" s="1491">
        <v>11576</v>
      </c>
      <c r="O51" s="1491">
        <v>166927</v>
      </c>
      <c r="P51" s="1494">
        <v>0.6</v>
      </c>
      <c r="Q51" s="1430">
        <v>354630</v>
      </c>
      <c r="R51" s="703">
        <v>94.7</v>
      </c>
      <c r="S51" s="1495">
        <v>66</v>
      </c>
      <c r="T51" s="1072">
        <v>276.94</v>
      </c>
      <c r="U51" s="1485">
        <v>48.6</v>
      </c>
      <c r="V51" s="1073">
        <v>91.3</v>
      </c>
      <c r="W51" s="1485">
        <v>6461.1</v>
      </c>
      <c r="X51" s="1073">
        <v>163</v>
      </c>
      <c r="Y51" s="1485" t="s">
        <v>148</v>
      </c>
      <c r="Z51" s="1496">
        <v>65.3</v>
      </c>
      <c r="AA51" s="1074" t="s">
        <v>153</v>
      </c>
      <c r="AB51" s="1485" t="s">
        <v>153</v>
      </c>
      <c r="AC51" s="1497" t="s">
        <v>153</v>
      </c>
      <c r="AD51" s="1496" t="s">
        <v>153</v>
      </c>
      <c r="AE51" s="554">
        <v>1271.9867119231603</v>
      </c>
      <c r="AF51" s="1434">
        <v>49.12</v>
      </c>
      <c r="AG51" s="1430">
        <v>308712</v>
      </c>
      <c r="AH51" s="1430">
        <v>6285</v>
      </c>
      <c r="AI51" s="1491">
        <v>7</v>
      </c>
      <c r="AJ51" s="1075">
        <v>8</v>
      </c>
    </row>
    <row r="52" spans="1:36" ht="16.05" customHeight="1">
      <c r="A52" s="860" t="s">
        <v>223</v>
      </c>
      <c r="B52" s="563">
        <v>358203</v>
      </c>
      <c r="C52" s="635">
        <v>3812</v>
      </c>
      <c r="D52" s="1452">
        <f>(358203/361337-1)*100</f>
        <v>-0.86733437206818476</v>
      </c>
      <c r="E52" s="1452">
        <v>11.6</v>
      </c>
      <c r="F52" s="1452">
        <v>57.5</v>
      </c>
      <c r="G52" s="1452">
        <v>30.9</v>
      </c>
      <c r="H52" s="1393">
        <f>I52-J52</f>
        <v>-2831</v>
      </c>
      <c r="I52" s="1393">
        <v>2288</v>
      </c>
      <c r="J52" s="1393">
        <v>5119</v>
      </c>
      <c r="K52" s="1463">
        <v>1.43</v>
      </c>
      <c r="L52" s="563">
        <f t="shared" ref="L52:L53" si="38">M52-N52</f>
        <v>-165</v>
      </c>
      <c r="M52" s="1393">
        <v>8696</v>
      </c>
      <c r="N52" s="1393">
        <v>8861</v>
      </c>
      <c r="O52" s="1393">
        <v>176486</v>
      </c>
      <c r="P52" s="1471">
        <v>0.3</v>
      </c>
      <c r="Q52" s="1393">
        <v>356729</v>
      </c>
      <c r="R52" s="1044">
        <v>103.7</v>
      </c>
      <c r="S52" s="1490">
        <v>73</v>
      </c>
      <c r="T52" s="1055">
        <v>208.85</v>
      </c>
      <c r="U52" s="1452">
        <v>74.2</v>
      </c>
      <c r="V52" s="638">
        <v>86.6</v>
      </c>
      <c r="W52" s="1452">
        <v>4074.4</v>
      </c>
      <c r="X52" s="638">
        <v>134.69999999999999</v>
      </c>
      <c r="Y52" s="1452">
        <v>0</v>
      </c>
      <c r="Z52" s="1453">
        <v>0</v>
      </c>
      <c r="AA52" s="1056">
        <v>43374</v>
      </c>
      <c r="AB52" s="1452">
        <v>4947</v>
      </c>
      <c r="AC52" s="1454">
        <v>13</v>
      </c>
      <c r="AD52" s="1453">
        <v>518</v>
      </c>
      <c r="AE52" s="627">
        <f>B52/T52</f>
        <v>1715.1209001675845</v>
      </c>
      <c r="AF52" s="1473">
        <v>63.9</v>
      </c>
      <c r="AG52" s="1393">
        <v>274582</v>
      </c>
      <c r="AH52" s="1393">
        <v>4297</v>
      </c>
      <c r="AI52" s="1393">
        <v>4</v>
      </c>
      <c r="AJ52" s="1058">
        <v>0</v>
      </c>
    </row>
    <row r="53" spans="1:36" ht="16.05" customHeight="1">
      <c r="A53" s="858" t="s">
        <v>224</v>
      </c>
      <c r="B53" s="553">
        <v>182163</v>
      </c>
      <c r="C53" s="561">
        <v>1584</v>
      </c>
      <c r="D53" s="1429">
        <v>-0.8</v>
      </c>
      <c r="E53" s="1429">
        <v>12.5</v>
      </c>
      <c r="F53" s="1429">
        <v>57</v>
      </c>
      <c r="G53" s="1429">
        <v>30.5</v>
      </c>
      <c r="H53" s="1430">
        <f t="shared" ref="H53" si="39">I53-J53</f>
        <v>-1112</v>
      </c>
      <c r="I53" s="1430">
        <v>1269</v>
      </c>
      <c r="J53" s="1430">
        <v>2381</v>
      </c>
      <c r="K53" s="1417">
        <v>1.49</v>
      </c>
      <c r="L53" s="553">
        <f t="shared" si="38"/>
        <v>-152</v>
      </c>
      <c r="M53" s="1430">
        <v>4593</v>
      </c>
      <c r="N53" s="1430">
        <v>4745</v>
      </c>
      <c r="O53" s="1430">
        <v>81625</v>
      </c>
      <c r="P53" s="1411">
        <v>0.7</v>
      </c>
      <c r="Q53" s="1430">
        <v>188465</v>
      </c>
      <c r="R53" s="703">
        <v>103</v>
      </c>
      <c r="S53" s="1431">
        <v>61.519142419601835</v>
      </c>
      <c r="T53" s="1076">
        <v>765.31</v>
      </c>
      <c r="U53" s="1429">
        <v>31.26</v>
      </c>
      <c r="V53" s="521">
        <v>85.66</v>
      </c>
      <c r="W53" s="1429">
        <v>4040</v>
      </c>
      <c r="X53" s="521">
        <v>146.76</v>
      </c>
      <c r="Y53" s="1429">
        <v>88.61</v>
      </c>
      <c r="Z53" s="1432">
        <v>498.68</v>
      </c>
      <c r="AA53" s="705" t="s">
        <v>153</v>
      </c>
      <c r="AB53" s="1429" t="s">
        <v>153</v>
      </c>
      <c r="AC53" s="1433" t="s">
        <v>153</v>
      </c>
      <c r="AD53" s="1432" t="s">
        <v>153</v>
      </c>
      <c r="AE53" s="554">
        <v>238</v>
      </c>
      <c r="AF53" s="1434">
        <v>21.91</v>
      </c>
      <c r="AG53" s="1430">
        <v>103827</v>
      </c>
      <c r="AH53" s="1430">
        <v>4739</v>
      </c>
      <c r="AI53" s="1430">
        <v>2</v>
      </c>
      <c r="AJ53" s="559">
        <v>4</v>
      </c>
    </row>
    <row r="54" spans="1:36" ht="16.05" customHeight="1">
      <c r="A54" s="860" t="s">
        <v>225</v>
      </c>
      <c r="B54" s="563">
        <v>196748</v>
      </c>
      <c r="C54" s="635">
        <v>1686</v>
      </c>
      <c r="D54" s="1452">
        <v>-0.8</v>
      </c>
      <c r="E54" s="1452">
        <v>12.9</v>
      </c>
      <c r="F54" s="1452">
        <v>56.8</v>
      </c>
      <c r="G54" s="1452">
        <v>30.4</v>
      </c>
      <c r="H54" s="1393">
        <v>-1234</v>
      </c>
      <c r="I54" s="1393">
        <v>1431</v>
      </c>
      <c r="J54" s="1393">
        <v>2665</v>
      </c>
      <c r="K54" s="1463">
        <v>1.54</v>
      </c>
      <c r="L54" s="563">
        <v>-369</v>
      </c>
      <c r="M54" s="1393">
        <v>6081</v>
      </c>
      <c r="N54" s="1393">
        <v>6450</v>
      </c>
      <c r="O54" s="1393">
        <v>91298</v>
      </c>
      <c r="P54" s="1471">
        <v>0.3</v>
      </c>
      <c r="Q54" s="1462">
        <v>203616</v>
      </c>
      <c r="R54" s="1452">
        <v>103</v>
      </c>
      <c r="S54" s="1498">
        <v>57.4</v>
      </c>
      <c r="T54" s="707">
        <v>572.99</v>
      </c>
      <c r="U54" s="1452">
        <v>32.9</v>
      </c>
      <c r="V54" s="638">
        <v>65.8</v>
      </c>
      <c r="W54" s="1452">
        <v>3932.9</v>
      </c>
      <c r="X54" s="638">
        <v>145.5</v>
      </c>
      <c r="Y54" s="1452">
        <v>20</v>
      </c>
      <c r="Z54" s="1453">
        <v>374.5</v>
      </c>
      <c r="AA54" s="1056">
        <v>44650</v>
      </c>
      <c r="AB54" s="1452">
        <v>3033</v>
      </c>
      <c r="AC54" s="1454">
        <v>3</v>
      </c>
      <c r="AD54" s="1453">
        <v>454</v>
      </c>
      <c r="AE54" s="627">
        <v>343</v>
      </c>
      <c r="AF54" s="1473">
        <v>22.33</v>
      </c>
      <c r="AG54" s="1393">
        <v>106434</v>
      </c>
      <c r="AH54" s="1393">
        <v>4766</v>
      </c>
      <c r="AI54" s="1393">
        <v>5</v>
      </c>
      <c r="AJ54" s="1058">
        <v>4</v>
      </c>
    </row>
    <row r="55" spans="1:36" ht="15.75" customHeight="1">
      <c r="A55" s="858" t="s">
        <v>226</v>
      </c>
      <c r="B55" s="1070">
        <v>476710</v>
      </c>
      <c r="C55" s="561">
        <v>7090</v>
      </c>
      <c r="D55" s="1429">
        <v>-0.4</v>
      </c>
      <c r="E55" s="1429">
        <v>13.2</v>
      </c>
      <c r="F55" s="1429">
        <v>58.9</v>
      </c>
      <c r="G55" s="1429">
        <v>27.9</v>
      </c>
      <c r="H55" s="1430">
        <f>I55-J55</f>
        <v>-1802</v>
      </c>
      <c r="I55" s="1430">
        <v>3599</v>
      </c>
      <c r="J55" s="1430">
        <v>5401</v>
      </c>
      <c r="K55" s="1417">
        <v>1.55</v>
      </c>
      <c r="L55" s="553">
        <f>M55-N55</f>
        <v>33</v>
      </c>
      <c r="M55" s="1430">
        <v>13890</v>
      </c>
      <c r="N55" s="1430">
        <v>13857</v>
      </c>
      <c r="O55" s="1430">
        <v>218626</v>
      </c>
      <c r="P55" s="1411">
        <v>0.86</v>
      </c>
      <c r="Q55" s="1458">
        <v>474592</v>
      </c>
      <c r="R55" s="1429">
        <v>98.954999999999998</v>
      </c>
      <c r="S55" s="1431">
        <v>60.19</v>
      </c>
      <c r="T55" s="704">
        <v>356.07</v>
      </c>
      <c r="U55" s="1429">
        <v>120.98</v>
      </c>
      <c r="V55" s="521" t="s">
        <v>185</v>
      </c>
      <c r="W55" s="1429" t="s">
        <v>185</v>
      </c>
      <c r="X55" s="521">
        <v>232.87</v>
      </c>
      <c r="Y55" s="1429" t="s">
        <v>153</v>
      </c>
      <c r="Z55" s="1432">
        <v>2.2200000000000002</v>
      </c>
      <c r="AA55" s="705">
        <v>44286</v>
      </c>
      <c r="AB55" s="1429">
        <v>5109</v>
      </c>
      <c r="AC55" s="1433">
        <v>8</v>
      </c>
      <c r="AD55" s="1432">
        <v>1155</v>
      </c>
      <c r="AE55" s="554">
        <v>1338.8</v>
      </c>
      <c r="AF55" s="1434">
        <v>93.41</v>
      </c>
      <c r="AG55" s="1430">
        <v>305435</v>
      </c>
      <c r="AH55" s="1430">
        <v>3269.8</v>
      </c>
      <c r="AI55" s="1430">
        <v>4</v>
      </c>
      <c r="AJ55" s="559" t="s">
        <v>153</v>
      </c>
    </row>
    <row r="56" spans="1:36" ht="16.05" customHeight="1">
      <c r="A56" s="860" t="s">
        <v>227</v>
      </c>
      <c r="B56" s="563">
        <v>208096</v>
      </c>
      <c r="C56" s="635">
        <v>3312</v>
      </c>
      <c r="D56" s="1452">
        <v>-1.54</v>
      </c>
      <c r="E56" s="1452">
        <v>10.17</v>
      </c>
      <c r="F56" s="1452">
        <v>53.66</v>
      </c>
      <c r="G56" s="1452">
        <v>36.18</v>
      </c>
      <c r="H56" s="1393">
        <f>I56-J56</f>
        <v>-2387</v>
      </c>
      <c r="I56" s="1393">
        <v>1060</v>
      </c>
      <c r="J56" s="1393">
        <v>3447</v>
      </c>
      <c r="K56" s="1463">
        <v>1.21</v>
      </c>
      <c r="L56" s="563">
        <f t="shared" ref="L56:L58" si="40">M56-N56</f>
        <v>-1200</v>
      </c>
      <c r="M56" s="1393">
        <v>6675</v>
      </c>
      <c r="N56" s="1393">
        <v>7875</v>
      </c>
      <c r="O56" s="1393">
        <v>106337</v>
      </c>
      <c r="P56" s="1471">
        <v>-0.35699999999999998</v>
      </c>
      <c r="Q56" s="1393">
        <v>214592</v>
      </c>
      <c r="R56" s="1044">
        <v>98.8</v>
      </c>
      <c r="S56" s="1380">
        <v>68</v>
      </c>
      <c r="T56" s="1055">
        <v>352.83</v>
      </c>
      <c r="U56" s="1452">
        <v>35.75</v>
      </c>
      <c r="V56" s="638">
        <f>166084/170508*100</f>
        <v>97.405400333122188</v>
      </c>
      <c r="W56" s="1452">
        <f>166084/U56</f>
        <v>4645.7062937062938</v>
      </c>
      <c r="X56" s="638">
        <v>110.47</v>
      </c>
      <c r="Y56" s="1452">
        <v>92.25</v>
      </c>
      <c r="Z56" s="1453">
        <v>114.36</v>
      </c>
      <c r="AA56" s="1056">
        <v>44104</v>
      </c>
      <c r="AB56" s="1452">
        <v>1664.2</v>
      </c>
      <c r="AC56" s="1454">
        <v>11</v>
      </c>
      <c r="AD56" s="1453">
        <v>953.3</v>
      </c>
      <c r="AE56" s="627">
        <v>590</v>
      </c>
      <c r="AF56" s="1473">
        <v>27.71</v>
      </c>
      <c r="AG56" s="1393">
        <v>142702</v>
      </c>
      <c r="AH56" s="1393">
        <v>5150</v>
      </c>
      <c r="AI56" s="1393">
        <v>4</v>
      </c>
      <c r="AJ56" s="1058">
        <v>1</v>
      </c>
    </row>
    <row r="57" spans="1:36" ht="16.05" customHeight="1">
      <c r="A57" s="858" t="s">
        <v>228</v>
      </c>
      <c r="B57" s="553">
        <v>459160</v>
      </c>
      <c r="C57" s="561">
        <v>9873</v>
      </c>
      <c r="D57" s="1429">
        <v>-0.5</v>
      </c>
      <c r="E57" s="1429">
        <v>12.83</v>
      </c>
      <c r="F57" s="1429">
        <v>57.98</v>
      </c>
      <c r="G57" s="1429">
        <v>29.19</v>
      </c>
      <c r="H57" s="1430">
        <f t="shared" ref="H57:H58" si="41">I57-J57</f>
        <v>-2524</v>
      </c>
      <c r="I57" s="1430">
        <v>3257</v>
      </c>
      <c r="J57" s="1458">
        <v>5781</v>
      </c>
      <c r="K57" s="1417">
        <v>1.53</v>
      </c>
      <c r="L57" s="553">
        <f t="shared" si="40"/>
        <v>-116</v>
      </c>
      <c r="M57" s="1430">
        <v>14923</v>
      </c>
      <c r="N57" s="1430">
        <v>15039</v>
      </c>
      <c r="O57" s="1430">
        <v>214259</v>
      </c>
      <c r="P57" s="1411">
        <v>0.79740999999999995</v>
      </c>
      <c r="Q57" s="1430">
        <v>460930</v>
      </c>
      <c r="R57" s="703">
        <f>459916/460930*100</f>
        <v>99.780009979823404</v>
      </c>
      <c r="S57" s="1431">
        <f>122247/195274*100</f>
        <v>62.602804264776665</v>
      </c>
      <c r="T57" s="704">
        <v>517.72</v>
      </c>
      <c r="U57" s="1429">
        <v>96.9</v>
      </c>
      <c r="V57" s="1429">
        <v>82.6</v>
      </c>
      <c r="W57" s="1429">
        <v>3932.3</v>
      </c>
      <c r="X57" s="1429">
        <v>239</v>
      </c>
      <c r="Y57" s="1415" t="s">
        <v>153</v>
      </c>
      <c r="Z57" s="1432">
        <v>182</v>
      </c>
      <c r="AA57" s="705">
        <v>44921</v>
      </c>
      <c r="AB57" s="1429">
        <v>7219</v>
      </c>
      <c r="AC57" s="1433">
        <v>17</v>
      </c>
      <c r="AD57" s="1432">
        <v>3058</v>
      </c>
      <c r="AE57" s="554">
        <f>B57/51772*100</f>
        <v>886.88866568801666</v>
      </c>
      <c r="AF57" s="1434">
        <v>59.9</v>
      </c>
      <c r="AG57" s="1430">
        <v>264631</v>
      </c>
      <c r="AH57" s="1430">
        <v>4417.8999999999996</v>
      </c>
      <c r="AI57" s="1430">
        <v>4</v>
      </c>
      <c r="AJ57" s="559">
        <v>1</v>
      </c>
    </row>
    <row r="58" spans="1:36" ht="16.05" customHeight="1">
      <c r="A58" s="860" t="s">
        <v>229</v>
      </c>
      <c r="B58" s="1077">
        <v>249012</v>
      </c>
      <c r="C58" s="1078">
        <v>4457</v>
      </c>
      <c r="D58" s="1452">
        <v>-1.3</v>
      </c>
      <c r="E58" s="1425">
        <v>10.8</v>
      </c>
      <c r="F58" s="1425">
        <v>52.9</v>
      </c>
      <c r="G58" s="1425">
        <v>36.299999999999997</v>
      </c>
      <c r="H58" s="1499">
        <f t="shared" si="41"/>
        <v>-2777</v>
      </c>
      <c r="I58" s="1499">
        <v>1384</v>
      </c>
      <c r="J58" s="1499">
        <v>4161</v>
      </c>
      <c r="K58" s="1422">
        <v>1.38</v>
      </c>
      <c r="L58" s="1077">
        <f t="shared" si="40"/>
        <v>-574</v>
      </c>
      <c r="M58" s="1499">
        <v>7096</v>
      </c>
      <c r="N58" s="1499">
        <v>7670</v>
      </c>
      <c r="O58" s="1499">
        <v>128654</v>
      </c>
      <c r="P58" s="1471">
        <v>-0.18</v>
      </c>
      <c r="Q58" s="1499">
        <v>255051</v>
      </c>
      <c r="R58" s="513">
        <v>98.6</v>
      </c>
      <c r="S58" s="1424">
        <v>76.2</v>
      </c>
      <c r="T58" s="512">
        <v>716.18</v>
      </c>
      <c r="U58" s="1425">
        <v>56.9</v>
      </c>
      <c r="V58" s="1079">
        <v>93.7</v>
      </c>
      <c r="W58" s="1425">
        <v>3459.5</v>
      </c>
      <c r="X58" s="1079">
        <v>136</v>
      </c>
      <c r="Y58" s="1425">
        <v>191.6</v>
      </c>
      <c r="Z58" s="1500">
        <v>331.7</v>
      </c>
      <c r="AA58" s="514">
        <v>43861</v>
      </c>
      <c r="AB58" s="1425">
        <v>2862</v>
      </c>
      <c r="AC58" s="1501">
        <v>3</v>
      </c>
      <c r="AD58" s="1500">
        <v>191.7</v>
      </c>
      <c r="AE58" s="515">
        <v>347.7</v>
      </c>
      <c r="AF58" s="1502">
        <v>41.08</v>
      </c>
      <c r="AG58" s="1499">
        <v>167629</v>
      </c>
      <c r="AH58" s="1499">
        <v>4081</v>
      </c>
      <c r="AI58" s="1499">
        <v>5</v>
      </c>
      <c r="AJ58" s="1080" t="s">
        <v>148</v>
      </c>
    </row>
    <row r="59" spans="1:36" ht="16.05" customHeight="1">
      <c r="A59" s="858" t="s">
        <v>230</v>
      </c>
      <c r="B59" s="553">
        <v>419628</v>
      </c>
      <c r="C59" s="561">
        <v>5339</v>
      </c>
      <c r="D59" s="1429">
        <v>-0.6</v>
      </c>
      <c r="E59" s="1429">
        <v>12.6</v>
      </c>
      <c r="F59" s="1429">
        <v>58.9</v>
      </c>
      <c r="G59" s="1429">
        <v>28.5</v>
      </c>
      <c r="H59" s="1430">
        <v>-2278</v>
      </c>
      <c r="I59" s="1430">
        <v>2956</v>
      </c>
      <c r="J59" s="1430">
        <v>5234</v>
      </c>
      <c r="K59" s="1417">
        <v>1.42</v>
      </c>
      <c r="L59" s="553">
        <v>279</v>
      </c>
      <c r="M59" s="1430">
        <v>14743</v>
      </c>
      <c r="N59" s="1430">
        <v>14464</v>
      </c>
      <c r="O59" s="1430">
        <v>202311</v>
      </c>
      <c r="P59" s="1411">
        <v>0.6</v>
      </c>
      <c r="Q59" s="1430">
        <v>417496</v>
      </c>
      <c r="R59" s="703">
        <v>102.9</v>
      </c>
      <c r="S59" s="1431">
        <v>51</v>
      </c>
      <c r="T59" s="704">
        <v>375.65</v>
      </c>
      <c r="U59" s="1429"/>
      <c r="V59" s="521"/>
      <c r="W59" s="1429"/>
      <c r="X59" s="521"/>
      <c r="Y59" s="1429">
        <v>240.41</v>
      </c>
      <c r="Z59" s="1432">
        <v>135.24</v>
      </c>
      <c r="AA59" s="705">
        <v>44039</v>
      </c>
      <c r="AB59" s="1429">
        <v>5930.31</v>
      </c>
      <c r="AC59" s="1433" t="s">
        <v>148</v>
      </c>
      <c r="AD59" s="1432">
        <v>2882.56</v>
      </c>
      <c r="AE59" s="554">
        <v>1117</v>
      </c>
      <c r="AF59" s="1434">
        <v>42.06</v>
      </c>
      <c r="AG59" s="1430">
        <v>213549</v>
      </c>
      <c r="AH59" s="1430">
        <v>5077.2</v>
      </c>
      <c r="AI59" s="1430">
        <v>4</v>
      </c>
      <c r="AJ59" s="559">
        <v>5</v>
      </c>
    </row>
    <row r="60" spans="1:36" ht="16.05" customHeight="1">
      <c r="A60" s="860" t="s">
        <v>231</v>
      </c>
      <c r="B60" s="563">
        <v>502052</v>
      </c>
      <c r="C60" s="635">
        <v>3827</v>
      </c>
      <c r="D60" s="1452">
        <v>-0.7</v>
      </c>
      <c r="E60" s="1452">
        <v>12.2</v>
      </c>
      <c r="F60" s="1452">
        <v>59</v>
      </c>
      <c r="G60" s="1452">
        <v>28.8</v>
      </c>
      <c r="H60" s="1393">
        <f t="shared" ref="H60" si="42">I60-J60</f>
        <v>-3035</v>
      </c>
      <c r="I60" s="1393">
        <v>3298</v>
      </c>
      <c r="J60" s="1462">
        <v>6333</v>
      </c>
      <c r="K60" s="1463">
        <v>1.3</v>
      </c>
      <c r="L60" s="563">
        <f t="shared" ref="L60" si="43">M60-N60</f>
        <v>-307</v>
      </c>
      <c r="M60" s="1393">
        <v>15321</v>
      </c>
      <c r="N60" s="1393">
        <v>15628</v>
      </c>
      <c r="O60" s="1393">
        <v>254292</v>
      </c>
      <c r="P60" s="1471">
        <v>0.4</v>
      </c>
      <c r="Q60" s="1393">
        <v>511192</v>
      </c>
      <c r="R60" s="1044">
        <v>101.2</v>
      </c>
      <c r="S60" s="1380">
        <v>71</v>
      </c>
      <c r="T60" s="1055">
        <v>429.35</v>
      </c>
      <c r="U60" s="1452">
        <v>70.3</v>
      </c>
      <c r="V60" s="638">
        <v>87.4</v>
      </c>
      <c r="W60" s="1452">
        <v>6267.5</v>
      </c>
      <c r="X60" s="638">
        <v>144.19999999999999</v>
      </c>
      <c r="Y60" s="1452" t="s">
        <v>153</v>
      </c>
      <c r="Z60" s="1453">
        <v>214.9</v>
      </c>
      <c r="AA60" s="1056">
        <v>44463</v>
      </c>
      <c r="AB60" s="1452">
        <v>4707</v>
      </c>
      <c r="AC60" s="1454">
        <v>11</v>
      </c>
      <c r="AD60" s="1453">
        <v>2251</v>
      </c>
      <c r="AE60" s="627">
        <v>1169</v>
      </c>
      <c r="AF60" s="1473">
        <v>70.61</v>
      </c>
      <c r="AG60" s="1393">
        <v>427540</v>
      </c>
      <c r="AH60" s="1393">
        <v>6055</v>
      </c>
      <c r="AI60" s="1393">
        <v>4</v>
      </c>
      <c r="AJ60" s="1058" t="s">
        <v>185</v>
      </c>
    </row>
    <row r="61" spans="1:36" ht="16.05" customHeight="1">
      <c r="A61" s="858" t="s">
        <v>232</v>
      </c>
      <c r="B61" s="1070">
        <v>317650</v>
      </c>
      <c r="C61" s="1071">
        <v>1951</v>
      </c>
      <c r="D61" s="1485">
        <v>0.1</v>
      </c>
      <c r="E61" s="1485">
        <v>11.584219821873258</v>
      </c>
      <c r="F61" s="1485">
        <v>57.851208447325419</v>
      </c>
      <c r="G61" s="1485">
        <v>30.564571730801323</v>
      </c>
      <c r="H61" s="1491">
        <v>-2391</v>
      </c>
      <c r="I61" s="1491">
        <v>2015</v>
      </c>
      <c r="J61" s="1492">
        <v>4406</v>
      </c>
      <c r="K61" s="1493">
        <v>1.41</v>
      </c>
      <c r="L61" s="1070">
        <v>-409</v>
      </c>
      <c r="M61" s="1491">
        <v>9013</v>
      </c>
      <c r="N61" s="1491">
        <v>9422</v>
      </c>
      <c r="O61" s="1491">
        <v>164085</v>
      </c>
      <c r="P61" s="1494">
        <v>0.1</v>
      </c>
      <c r="Q61" s="1491">
        <v>326545</v>
      </c>
      <c r="R61" s="1081">
        <v>101.9</v>
      </c>
      <c r="S61" s="1503">
        <v>76</v>
      </c>
      <c r="T61" s="1072">
        <v>309</v>
      </c>
      <c r="U61" s="1485">
        <v>50.72</v>
      </c>
      <c r="V61" s="1073">
        <v>90.4</v>
      </c>
      <c r="W61" s="1485">
        <v>5660.6</v>
      </c>
      <c r="X61" s="1073">
        <v>117.33</v>
      </c>
      <c r="Y61" s="1485" t="s">
        <v>148</v>
      </c>
      <c r="Z61" s="1496">
        <v>140.94999999999999</v>
      </c>
      <c r="AA61" s="1074" t="s">
        <v>233</v>
      </c>
      <c r="AB61" s="1485">
        <v>4494</v>
      </c>
      <c r="AC61" s="1497">
        <v>3</v>
      </c>
      <c r="AD61" s="1496">
        <v>554</v>
      </c>
      <c r="AE61" s="1082">
        <f>B61/T61</f>
        <v>1027.9935275080907</v>
      </c>
      <c r="AF61" s="1504">
        <v>44.56</v>
      </c>
      <c r="AG61" s="1491">
        <v>266025</v>
      </c>
      <c r="AH61" s="1491">
        <v>5970</v>
      </c>
      <c r="AI61" s="1491">
        <v>4</v>
      </c>
      <c r="AJ61" s="1075">
        <v>1</v>
      </c>
    </row>
    <row r="62" spans="1:36" ht="16.05" customHeight="1">
      <c r="A62" s="860" t="s">
        <v>234</v>
      </c>
      <c r="B62" s="563">
        <v>301612</v>
      </c>
      <c r="C62" s="635">
        <v>4998</v>
      </c>
      <c r="D62" s="1452">
        <v>-0.16880000000000001</v>
      </c>
      <c r="E62" s="1452">
        <v>13.646000000000001</v>
      </c>
      <c r="F62" s="1452">
        <v>58.439979999999998</v>
      </c>
      <c r="G62" s="1452">
        <v>27.91</v>
      </c>
      <c r="H62" s="1393">
        <f t="shared" ref="H62:H66" si="44">I62-J62</f>
        <v>-1025</v>
      </c>
      <c r="I62" s="1393">
        <v>2371</v>
      </c>
      <c r="J62" s="1393">
        <v>3396</v>
      </c>
      <c r="K62" s="1463">
        <v>1.44</v>
      </c>
      <c r="L62" s="563">
        <f t="shared" ref="L62:L68" si="45">M62-N62</f>
        <v>-329</v>
      </c>
      <c r="M62" s="1393">
        <v>11617</v>
      </c>
      <c r="N62" s="1393">
        <v>11946</v>
      </c>
      <c r="O62" s="1393">
        <v>140549</v>
      </c>
      <c r="P62" s="1471">
        <v>1.4310799999999999</v>
      </c>
      <c r="Q62" s="1393">
        <v>303316</v>
      </c>
      <c r="R62" s="1044">
        <v>99</v>
      </c>
      <c r="S62" s="1380">
        <v>71.099999999999994</v>
      </c>
      <c r="T62" s="1055">
        <v>229.96</v>
      </c>
      <c r="U62" s="1452">
        <v>36.35</v>
      </c>
      <c r="V62" s="638">
        <f>209463/303316*100</f>
        <v>69.057682417017247</v>
      </c>
      <c r="W62" s="1452">
        <f>209463/36.35</f>
        <v>5762.3933975240716</v>
      </c>
      <c r="X62" s="638">
        <v>88.33</v>
      </c>
      <c r="Y62" s="1452">
        <v>105.28</v>
      </c>
      <c r="Z62" s="1453" t="s">
        <v>148</v>
      </c>
      <c r="AA62" s="625" t="s">
        <v>235</v>
      </c>
      <c r="AB62" s="1452">
        <v>3326.3</v>
      </c>
      <c r="AC62" s="1454">
        <v>21</v>
      </c>
      <c r="AD62" s="1453">
        <v>1726.2</v>
      </c>
      <c r="AE62" s="627">
        <v>1311.6</v>
      </c>
      <c r="AF62" s="1473">
        <v>34.68</v>
      </c>
      <c r="AG62" s="1393">
        <v>188872</v>
      </c>
      <c r="AH62" s="1393">
        <v>5446</v>
      </c>
      <c r="AI62" s="1393">
        <v>2</v>
      </c>
      <c r="AJ62" s="1058">
        <v>1</v>
      </c>
    </row>
    <row r="63" spans="1:36" ht="15.75" customHeight="1">
      <c r="A63" s="858" t="s">
        <v>236</v>
      </c>
      <c r="B63" s="1070">
        <v>398747</v>
      </c>
      <c r="C63" s="1071">
        <v>3639</v>
      </c>
      <c r="D63" s="1485">
        <v>-1.2</v>
      </c>
      <c r="E63" s="1485">
        <v>11.2</v>
      </c>
      <c r="F63" s="1485">
        <v>54.8</v>
      </c>
      <c r="G63" s="1485">
        <v>34</v>
      </c>
      <c r="H63" s="1491">
        <f t="shared" si="44"/>
        <v>-3391</v>
      </c>
      <c r="I63" s="1491">
        <v>2449</v>
      </c>
      <c r="J63" s="1491">
        <v>5840</v>
      </c>
      <c r="K63" s="1493">
        <v>1.37</v>
      </c>
      <c r="L63" s="1070">
        <f t="shared" si="45"/>
        <v>-1530</v>
      </c>
      <c r="M63" s="1491">
        <v>12191</v>
      </c>
      <c r="N63" s="1491">
        <v>13721</v>
      </c>
      <c r="O63" s="1491">
        <v>205395</v>
      </c>
      <c r="P63" s="1494">
        <v>0</v>
      </c>
      <c r="Q63" s="1491">
        <v>409118</v>
      </c>
      <c r="R63" s="1081">
        <v>102.5</v>
      </c>
      <c r="S63" s="1503">
        <v>64</v>
      </c>
      <c r="T63" s="1072">
        <v>405.69</v>
      </c>
      <c r="U63" s="1485">
        <v>62.7</v>
      </c>
      <c r="V63" s="1073" t="s">
        <v>153</v>
      </c>
      <c r="W63" s="1485" t="s">
        <v>153</v>
      </c>
      <c r="X63" s="1073">
        <v>183.4</v>
      </c>
      <c r="Y63" s="1485">
        <v>36.4</v>
      </c>
      <c r="Z63" s="1496">
        <v>123.4</v>
      </c>
      <c r="AA63" s="1074">
        <v>43313</v>
      </c>
      <c r="AB63" s="1485">
        <v>3966</v>
      </c>
      <c r="AC63" s="1497">
        <v>5</v>
      </c>
      <c r="AD63" s="1496">
        <v>497</v>
      </c>
      <c r="AE63" s="554">
        <f>ROUND(B63/T63,2)</f>
        <v>982.89</v>
      </c>
      <c r="AF63" s="1504">
        <v>43.05</v>
      </c>
      <c r="AG63" s="1491">
        <v>290853</v>
      </c>
      <c r="AH63" s="1485">
        <v>6756.2</v>
      </c>
      <c r="AI63" s="1491">
        <v>9</v>
      </c>
      <c r="AJ63" s="559">
        <v>2</v>
      </c>
    </row>
    <row r="64" spans="1:36" ht="16.05" customHeight="1">
      <c r="A64" s="860" t="s">
        <v>237</v>
      </c>
      <c r="B64" s="563">
        <v>237686</v>
      </c>
      <c r="C64" s="635">
        <v>1924</v>
      </c>
      <c r="D64" s="1452">
        <v>-1.3</v>
      </c>
      <c r="E64" s="1452">
        <v>12.7</v>
      </c>
      <c r="F64" s="1452">
        <v>54.5</v>
      </c>
      <c r="G64" s="1452">
        <v>32.799999999999997</v>
      </c>
      <c r="H64" s="1393">
        <f t="shared" si="44"/>
        <v>-1794</v>
      </c>
      <c r="I64" s="1393">
        <v>1714</v>
      </c>
      <c r="J64" s="1393">
        <v>3508</v>
      </c>
      <c r="K64" s="1463">
        <v>1.67</v>
      </c>
      <c r="L64" s="563">
        <f t="shared" si="45"/>
        <v>-801</v>
      </c>
      <c r="M64" s="1393">
        <v>8717</v>
      </c>
      <c r="N64" s="1393">
        <v>9518</v>
      </c>
      <c r="O64" s="1393">
        <v>120190</v>
      </c>
      <c r="P64" s="1471">
        <v>-0.18</v>
      </c>
      <c r="Q64" s="1393">
        <v>243223</v>
      </c>
      <c r="R64" s="1044">
        <v>101.5</v>
      </c>
      <c r="S64" s="1505">
        <v>80</v>
      </c>
      <c r="T64" s="1055">
        <v>426.01</v>
      </c>
      <c r="U64" s="1452">
        <v>44.7</v>
      </c>
      <c r="V64" s="638">
        <v>89.2</v>
      </c>
      <c r="W64" s="1452">
        <v>4181.2</v>
      </c>
      <c r="X64" s="638">
        <v>195.1</v>
      </c>
      <c r="Y64" s="1452">
        <v>52.8</v>
      </c>
      <c r="Z64" s="1453">
        <v>133.4</v>
      </c>
      <c r="AA64" s="1056" t="s">
        <v>180</v>
      </c>
      <c r="AB64" s="1452" t="s">
        <v>148</v>
      </c>
      <c r="AC64" s="1454" t="s">
        <v>148</v>
      </c>
      <c r="AD64" s="1453" t="s">
        <v>148</v>
      </c>
      <c r="AE64" s="627">
        <v>558</v>
      </c>
      <c r="AF64" s="1473">
        <v>31.94</v>
      </c>
      <c r="AG64" s="1393">
        <v>145910</v>
      </c>
      <c r="AH64" s="1393">
        <v>4568</v>
      </c>
      <c r="AI64" s="1393">
        <v>7</v>
      </c>
      <c r="AJ64" s="1451">
        <v>1</v>
      </c>
    </row>
    <row r="65" spans="1:39" ht="16.05" customHeight="1">
      <c r="A65" s="858" t="s">
        <v>238</v>
      </c>
      <c r="B65" s="553">
        <v>475163</v>
      </c>
      <c r="C65" s="561">
        <v>3098</v>
      </c>
      <c r="D65" s="1429">
        <v>-0.26</v>
      </c>
      <c r="E65" s="1429">
        <v>13.2</v>
      </c>
      <c r="F65" s="1429">
        <v>58.6</v>
      </c>
      <c r="G65" s="1429">
        <v>28.2</v>
      </c>
      <c r="H65" s="1430">
        <f t="shared" si="44"/>
        <v>-1888</v>
      </c>
      <c r="I65" s="1430">
        <v>1651</v>
      </c>
      <c r="J65" s="1430">
        <v>3539</v>
      </c>
      <c r="K65" s="1417">
        <v>1.52</v>
      </c>
      <c r="L65" s="553">
        <f t="shared" si="45"/>
        <v>-1923</v>
      </c>
      <c r="M65" s="1430">
        <v>12435</v>
      </c>
      <c r="N65" s="1430">
        <v>14358</v>
      </c>
      <c r="O65" s="1430">
        <v>229500</v>
      </c>
      <c r="P65" s="1411">
        <v>0.96</v>
      </c>
      <c r="Q65" s="1430">
        <v>475614</v>
      </c>
      <c r="R65" s="703">
        <v>101.2</v>
      </c>
      <c r="S65" s="1431">
        <v>88</v>
      </c>
      <c r="T65" s="704">
        <v>502.39</v>
      </c>
      <c r="U65" s="1429">
        <v>112.88</v>
      </c>
      <c r="V65" s="521">
        <v>88.45</v>
      </c>
      <c r="W65" s="1429">
        <v>3633.105</v>
      </c>
      <c r="X65" s="521">
        <v>248.17</v>
      </c>
      <c r="Y65" s="1429" t="s">
        <v>148</v>
      </c>
      <c r="Z65" s="1432">
        <v>141.34</v>
      </c>
      <c r="AA65" s="705">
        <v>43553</v>
      </c>
      <c r="AB65" s="1429">
        <v>7560</v>
      </c>
      <c r="AC65" s="1433">
        <v>8</v>
      </c>
      <c r="AD65" s="1432">
        <v>860</v>
      </c>
      <c r="AE65" s="554">
        <v>945.8</v>
      </c>
      <c r="AF65" s="1434">
        <v>74.14</v>
      </c>
      <c r="AG65" s="1430">
        <v>351227</v>
      </c>
      <c r="AH65" s="1430">
        <v>4737</v>
      </c>
      <c r="AI65" s="1430">
        <v>4</v>
      </c>
      <c r="AJ65" s="1459">
        <v>1</v>
      </c>
    </row>
    <row r="66" spans="1:39" ht="16.05" customHeight="1">
      <c r="A66" s="860" t="s">
        <v>239</v>
      </c>
      <c r="B66" s="508">
        <v>397898</v>
      </c>
      <c r="C66" s="1499">
        <v>2590</v>
      </c>
      <c r="D66" s="1425">
        <v>-0.49459999999999998</v>
      </c>
      <c r="E66" s="1425">
        <v>13.5</v>
      </c>
      <c r="F66" s="1425">
        <v>57.6</v>
      </c>
      <c r="G66" s="1425">
        <v>28.9</v>
      </c>
      <c r="H66" s="1499">
        <f t="shared" si="44"/>
        <v>-1846</v>
      </c>
      <c r="I66" s="1499">
        <v>2915</v>
      </c>
      <c r="J66" s="1499">
        <v>4761</v>
      </c>
      <c r="K66" s="511">
        <v>1.51</v>
      </c>
      <c r="L66" s="508">
        <f t="shared" si="45"/>
        <v>504</v>
      </c>
      <c r="M66" s="1499">
        <v>13735</v>
      </c>
      <c r="N66" s="1499">
        <v>13231</v>
      </c>
      <c r="O66" s="1499">
        <v>201123</v>
      </c>
      <c r="P66" s="1506">
        <v>0.47799999999999998</v>
      </c>
      <c r="Q66" s="1499">
        <v>401339</v>
      </c>
      <c r="R66" s="1506">
        <v>101.44</v>
      </c>
      <c r="S66" s="1507">
        <v>50</v>
      </c>
      <c r="T66" s="512">
        <v>643.57000000000005</v>
      </c>
      <c r="U66" s="1425">
        <v>62.56</v>
      </c>
      <c r="V66" s="513">
        <v>87.92</v>
      </c>
      <c r="W66" s="1425">
        <v>5341.27</v>
      </c>
      <c r="X66" s="1425">
        <v>213.22</v>
      </c>
      <c r="Y66" s="1425">
        <v>7.65</v>
      </c>
      <c r="Z66" s="1500">
        <v>360.14</v>
      </c>
      <c r="AA66" s="514" t="s">
        <v>240</v>
      </c>
      <c r="AB66" s="1425">
        <v>5090.5</v>
      </c>
      <c r="AC66" s="1501">
        <v>21</v>
      </c>
      <c r="AD66" s="1500">
        <v>1454.1</v>
      </c>
      <c r="AE66" s="515">
        <v>618.26</v>
      </c>
      <c r="AF66" s="1502">
        <v>51.8</v>
      </c>
      <c r="AG66" s="1499">
        <v>277345</v>
      </c>
      <c r="AH66" s="1499">
        <v>5355.2</v>
      </c>
      <c r="AI66" s="1499">
        <v>4</v>
      </c>
      <c r="AJ66" s="1507">
        <v>2</v>
      </c>
    </row>
    <row r="67" spans="1:39" ht="16.05" customHeight="1">
      <c r="A67" s="858" t="s">
        <v>241</v>
      </c>
      <c r="B67" s="553">
        <v>596245</v>
      </c>
      <c r="C67" s="561">
        <v>3657</v>
      </c>
      <c r="D67" s="1429">
        <v>-0.4</v>
      </c>
      <c r="E67" s="1429">
        <v>13.5</v>
      </c>
      <c r="F67" s="1429">
        <v>58</v>
      </c>
      <c r="G67" s="1429">
        <v>28.5</v>
      </c>
      <c r="H67" s="1430">
        <v>-2595</v>
      </c>
      <c r="I67" s="1430">
        <v>4410</v>
      </c>
      <c r="J67" s="1430">
        <v>7005</v>
      </c>
      <c r="K67" s="1417">
        <v>1.46</v>
      </c>
      <c r="L67" s="553">
        <f t="shared" si="45"/>
        <v>111</v>
      </c>
      <c r="M67" s="1430">
        <v>20445</v>
      </c>
      <c r="N67" s="1430">
        <v>20334</v>
      </c>
      <c r="O67" s="1430">
        <v>302904</v>
      </c>
      <c r="P67" s="1411">
        <v>0.6</v>
      </c>
      <c r="Q67" s="1430">
        <v>593128</v>
      </c>
      <c r="R67" s="703">
        <v>101.04581</v>
      </c>
      <c r="S67" s="1431">
        <v>52</v>
      </c>
      <c r="T67" s="704">
        <v>547.61</v>
      </c>
      <c r="U67" s="1429">
        <v>84.1</v>
      </c>
      <c r="V67" s="703">
        <v>91.6</v>
      </c>
      <c r="W67" s="1429">
        <v>5969.7</v>
      </c>
      <c r="X67" s="521">
        <v>206.1</v>
      </c>
      <c r="Y67" s="1429">
        <v>94.7</v>
      </c>
      <c r="Z67" s="1432">
        <v>162.69999999999999</v>
      </c>
      <c r="AA67" s="705" t="s">
        <v>242</v>
      </c>
      <c r="AB67" s="1429">
        <v>7640</v>
      </c>
      <c r="AC67" s="1433">
        <v>38</v>
      </c>
      <c r="AD67" s="1432">
        <v>675</v>
      </c>
      <c r="AE67" s="554">
        <v>1089</v>
      </c>
      <c r="AF67" s="1434">
        <v>75.709999999999994</v>
      </c>
      <c r="AG67" s="1430">
        <v>478507</v>
      </c>
      <c r="AH67" s="1430">
        <v>6320.3</v>
      </c>
      <c r="AI67" s="1430">
        <v>5</v>
      </c>
      <c r="AJ67" s="1459">
        <v>1</v>
      </c>
    </row>
    <row r="68" spans="1:39" ht="16.05" customHeight="1" thickBot="1">
      <c r="A68" s="860" t="s">
        <v>243</v>
      </c>
      <c r="B68" s="787">
        <v>315539</v>
      </c>
      <c r="C68" s="1083">
        <v>5559</v>
      </c>
      <c r="D68" s="1452">
        <v>0</v>
      </c>
      <c r="E68" s="1452">
        <v>14.2</v>
      </c>
      <c r="F68" s="1452">
        <v>61.4</v>
      </c>
      <c r="G68" s="1452">
        <v>24.4</v>
      </c>
      <c r="H68" s="1083">
        <f t="shared" ref="H68" si="46">I68-J68</f>
        <v>-1082</v>
      </c>
      <c r="I68" s="1083">
        <v>2449</v>
      </c>
      <c r="J68" s="1083">
        <v>3531</v>
      </c>
      <c r="K68" s="1084">
        <v>1.43</v>
      </c>
      <c r="L68" s="1085">
        <f t="shared" si="45"/>
        <v>-167</v>
      </c>
      <c r="M68" s="1083">
        <v>16779</v>
      </c>
      <c r="N68" s="1083">
        <v>16946</v>
      </c>
      <c r="O68" s="1083">
        <v>158062</v>
      </c>
      <c r="P68" s="1086">
        <v>0</v>
      </c>
      <c r="Q68" s="1083">
        <v>317625</v>
      </c>
      <c r="R68" s="1086">
        <v>109</v>
      </c>
      <c r="S68" s="1087">
        <v>15</v>
      </c>
      <c r="T68" s="1055">
        <v>41.42</v>
      </c>
      <c r="U68" s="1088">
        <v>32.5</v>
      </c>
      <c r="V68" s="1044">
        <v>99.5</v>
      </c>
      <c r="W68" s="1088">
        <v>9658.2000000000007</v>
      </c>
      <c r="X68" s="1088">
        <v>8.9</v>
      </c>
      <c r="Y68" s="1508" t="s">
        <v>153</v>
      </c>
      <c r="Z68" s="1508" t="s">
        <v>153</v>
      </c>
      <c r="AA68" s="1089">
        <v>43921</v>
      </c>
      <c r="AB68" s="1090">
        <v>2722.6</v>
      </c>
      <c r="AC68" s="1091">
        <v>5</v>
      </c>
      <c r="AD68" s="1092">
        <v>512.5</v>
      </c>
      <c r="AE68" s="627">
        <v>7611</v>
      </c>
      <c r="AF68" s="1473">
        <v>38.68</v>
      </c>
      <c r="AG68" s="1393">
        <v>316580</v>
      </c>
      <c r="AH68" s="1393">
        <v>8185</v>
      </c>
      <c r="AI68" s="1393">
        <v>3</v>
      </c>
      <c r="AJ68" s="1451">
        <v>2</v>
      </c>
    </row>
    <row r="69" spans="1:39" ht="16.05" customHeight="1" thickTop="1">
      <c r="A69" s="1093" t="s">
        <v>244</v>
      </c>
      <c r="B69" s="1094">
        <f>SUM(B7:B68)</f>
        <v>22487997</v>
      </c>
      <c r="C69" s="1095">
        <f>SUM(C7:C68)</f>
        <v>423782</v>
      </c>
      <c r="D69" s="1096" t="s">
        <v>153</v>
      </c>
      <c r="E69" s="1096" t="s">
        <v>153</v>
      </c>
      <c r="F69" s="1096" t="s">
        <v>153</v>
      </c>
      <c r="G69" s="1096" t="s">
        <v>153</v>
      </c>
      <c r="H69" s="1097">
        <f>SUM(H7:H68)</f>
        <v>-127889</v>
      </c>
      <c r="I69" s="1098">
        <f>SUM(I7:I68)</f>
        <v>145910</v>
      </c>
      <c r="J69" s="1098">
        <f>SUM(J7:J68)</f>
        <v>274352</v>
      </c>
      <c r="K69" s="1099" t="s">
        <v>153</v>
      </c>
      <c r="L69" s="1100">
        <f>SUM(L7:L68)</f>
        <v>19510</v>
      </c>
      <c r="M69" s="1097">
        <f>SUM(M7:M68)</f>
        <v>841673</v>
      </c>
      <c r="N69" s="1097">
        <f>SUM(N7:N68)</f>
        <v>822163</v>
      </c>
      <c r="O69" s="1101">
        <f>SUM(O7:O68)</f>
        <v>10810793</v>
      </c>
      <c r="P69" s="1102" t="s">
        <v>153</v>
      </c>
      <c r="Q69" s="1103">
        <f>SUM(Q7:Q68)</f>
        <v>22750668</v>
      </c>
      <c r="R69" s="1096" t="s">
        <v>153</v>
      </c>
      <c r="S69" s="1104" t="s">
        <v>153</v>
      </c>
      <c r="T69" s="1105">
        <f>SUM(T7:T68)</f>
        <v>25016.679999999993</v>
      </c>
      <c r="U69" s="1106">
        <f>SUM(U7:U68)</f>
        <v>3477.4599999999996</v>
      </c>
      <c r="V69" s="1096" t="s">
        <v>153</v>
      </c>
      <c r="W69" s="1096" t="s">
        <v>153</v>
      </c>
      <c r="X69" s="1106">
        <f>SUM(X7:X68)</f>
        <v>8334.7510000000002</v>
      </c>
      <c r="Y69" s="1106">
        <f>SUM(Y7:Y68)</f>
        <v>1318.5700000000002</v>
      </c>
      <c r="Z69" s="1107">
        <f>SUM(Z7:Z68)</f>
        <v>11563.559999999998</v>
      </c>
      <c r="AA69" s="1108" t="s">
        <v>153</v>
      </c>
      <c r="AB69" s="1096" t="s">
        <v>153</v>
      </c>
      <c r="AC69" s="1096" t="s">
        <v>153</v>
      </c>
      <c r="AD69" s="1109" t="s">
        <v>153</v>
      </c>
      <c r="AE69" s="1110" t="s">
        <v>153</v>
      </c>
      <c r="AF69" s="1111">
        <f>SUM(AF7:AF68)</f>
        <v>3004.5499999999997</v>
      </c>
      <c r="AG69" s="1112">
        <f>SUM(AG7:AG68)</f>
        <v>17990500</v>
      </c>
      <c r="AH69" s="1113" t="s">
        <v>153</v>
      </c>
      <c r="AI69" s="1112">
        <f>SUM(AI7:AI68)</f>
        <v>232</v>
      </c>
      <c r="AJ69" s="1114">
        <f>SUM(AJ7:AJ68)</f>
        <v>136</v>
      </c>
    </row>
    <row r="70" spans="1:39" ht="15.75" customHeight="1">
      <c r="A70" s="860" t="s">
        <v>245</v>
      </c>
      <c r="B70" s="1115">
        <f t="shared" ref="B70:R70" si="47">AVERAGE(B7:B68)</f>
        <v>362709.62903225806</v>
      </c>
      <c r="C70" s="1509">
        <f t="shared" si="47"/>
        <v>6835.1935483870966</v>
      </c>
      <c r="D70" s="1510">
        <f t="shared" si="47"/>
        <v>-0.48001664830845714</v>
      </c>
      <c r="E70" s="1510">
        <f t="shared" si="47"/>
        <v>12.020937474533188</v>
      </c>
      <c r="F70" s="1510">
        <f t="shared" si="47"/>
        <v>58.984664470784637</v>
      </c>
      <c r="G70" s="1510">
        <f t="shared" si="47"/>
        <v>28.994865474037031</v>
      </c>
      <c r="H70" s="1116">
        <f t="shared" si="47"/>
        <v>-2096.5409836065573</v>
      </c>
      <c r="I70" s="1116">
        <f t="shared" si="47"/>
        <v>2353.3870967741937</v>
      </c>
      <c r="J70" s="1116">
        <f t="shared" si="47"/>
        <v>4425.0322580645161</v>
      </c>
      <c r="K70" s="1117">
        <f t="shared" si="47"/>
        <v>1.3570967741935482</v>
      </c>
      <c r="L70" s="1118">
        <f t="shared" si="47"/>
        <v>314.67741935483872</v>
      </c>
      <c r="M70" s="1509">
        <f t="shared" si="47"/>
        <v>13575.370967741936</v>
      </c>
      <c r="N70" s="1509">
        <f t="shared" si="47"/>
        <v>13260.693548387097</v>
      </c>
      <c r="O70" s="1509">
        <f t="shared" si="47"/>
        <v>174367.62903225806</v>
      </c>
      <c r="P70" s="1510">
        <f t="shared" si="47"/>
        <v>0.66790666587928516</v>
      </c>
      <c r="Q70" s="1509">
        <f t="shared" si="47"/>
        <v>366946.25806451612</v>
      </c>
      <c r="R70" s="1510">
        <f t="shared" si="47"/>
        <v>99.166787570165965</v>
      </c>
      <c r="S70" s="1453">
        <f>AVERAGE(S7:S68)</f>
        <v>66.541321720715771</v>
      </c>
      <c r="T70" s="1119">
        <f>AVERAGE(T7:T68)</f>
        <v>403.49483870967731</v>
      </c>
      <c r="U70" s="1510">
        <f>AVERAGE(U7:U68)</f>
        <v>57.007540983606553</v>
      </c>
      <c r="V70" s="638">
        <f t="shared" ref="V70:X70" si="48">AVERAGE(V7:V68)</f>
        <v>87.300272914390646</v>
      </c>
      <c r="W70" s="1471">
        <f t="shared" si="48"/>
        <v>5925.1183405183483</v>
      </c>
      <c r="X70" s="1452">
        <f t="shared" si="48"/>
        <v>141.26696610169492</v>
      </c>
      <c r="Y70" s="1510">
        <f>AVERAGE(Y7:Y68)</f>
        <v>54.940416666666671</v>
      </c>
      <c r="Z70" s="1511">
        <f>AVERAGE(Z7:Z68)</f>
        <v>275.32285714285706</v>
      </c>
      <c r="AA70" s="546" t="s">
        <v>153</v>
      </c>
      <c r="AB70" s="1471" t="s">
        <v>153</v>
      </c>
      <c r="AC70" s="1471" t="s">
        <v>153</v>
      </c>
      <c r="AD70" s="1453" t="s">
        <v>153</v>
      </c>
      <c r="AE70" s="1115">
        <f t="shared" ref="AE70:AJ70" si="49">AVERAGE(AE7:AE68)</f>
        <v>2514.5135637365943</v>
      </c>
      <c r="AF70" s="1512">
        <f t="shared" si="49"/>
        <v>48.460483870967735</v>
      </c>
      <c r="AG70" s="1509">
        <f t="shared" si="49"/>
        <v>290169.3548387097</v>
      </c>
      <c r="AH70" s="1509">
        <f t="shared" si="49"/>
        <v>6178.8247305653776</v>
      </c>
      <c r="AI70" s="1509">
        <f t="shared" si="49"/>
        <v>3.8666666666666667</v>
      </c>
      <c r="AJ70" s="1120">
        <f t="shared" si="49"/>
        <v>2.8936170212765959</v>
      </c>
    </row>
    <row r="71" spans="1:39" s="29" customFormat="1" ht="14.25" customHeight="1">
      <c r="A71" s="1121" t="s">
        <v>246</v>
      </c>
      <c r="B71" s="1860" t="s">
        <v>247</v>
      </c>
      <c r="C71" s="1860"/>
      <c r="D71" s="1860"/>
      <c r="E71" s="1860"/>
      <c r="F71" s="1860"/>
      <c r="G71" s="1860"/>
      <c r="H71" s="1860"/>
      <c r="I71" s="1860"/>
      <c r="J71" s="1860"/>
      <c r="K71" s="1122"/>
      <c r="L71" s="1123" t="s">
        <v>248</v>
      </c>
      <c r="M71" s="1123"/>
      <c r="N71" s="1124"/>
      <c r="O71" s="1124"/>
      <c r="P71" s="1124"/>
      <c r="Q71" s="1124"/>
      <c r="R71" s="1124"/>
      <c r="S71" s="1121"/>
      <c r="T71" s="1123" t="s">
        <v>249</v>
      </c>
      <c r="U71" s="1125"/>
      <c r="V71" s="1125"/>
      <c r="W71" s="1125"/>
      <c r="X71" s="1125"/>
      <c r="Y71" s="1125"/>
      <c r="Z71" s="1125"/>
      <c r="AA71" s="1125"/>
      <c r="AB71" s="1125"/>
      <c r="AC71" s="1125"/>
      <c r="AD71" s="1125"/>
      <c r="AE71" s="1126" t="s">
        <v>250</v>
      </c>
      <c r="AF71" s="1127"/>
      <c r="AG71" s="1127"/>
      <c r="AH71" s="1127"/>
      <c r="AI71" s="1127"/>
      <c r="AJ71" s="1127"/>
      <c r="AK71" s="379"/>
      <c r="AL71" s="379"/>
      <c r="AM71" s="383"/>
    </row>
    <row r="72" spans="1:39" s="29" customFormat="1" ht="13.2" hidden="1" customHeight="1">
      <c r="A72" s="424"/>
      <c r="B72" s="1856"/>
      <c r="C72" s="1856"/>
      <c r="D72" s="1856"/>
      <c r="E72" s="1856"/>
      <c r="F72" s="1856"/>
      <c r="G72" s="1856"/>
      <c r="H72" s="1856"/>
      <c r="I72" s="1856"/>
      <c r="J72" s="1856"/>
      <c r="K72" s="1856"/>
      <c r="L72" s="384"/>
      <c r="T72" s="384"/>
      <c r="U72" s="363"/>
      <c r="V72" s="363"/>
      <c r="W72" s="363"/>
      <c r="X72" s="363"/>
      <c r="Y72" s="363"/>
      <c r="Z72" s="363"/>
      <c r="AA72" s="363"/>
      <c r="AB72" s="363"/>
      <c r="AC72" s="363"/>
      <c r="AD72" s="363"/>
      <c r="AF72" s="379"/>
      <c r="AG72" s="379"/>
      <c r="AH72" s="379"/>
      <c r="AI72" s="379"/>
      <c r="AJ72" s="379"/>
      <c r="AK72" s="379"/>
      <c r="AL72" s="379"/>
      <c r="AM72" s="379"/>
    </row>
    <row r="73" spans="1:39" s="29" customFormat="1" ht="14.25" hidden="1" customHeight="1">
      <c r="B73" s="1856"/>
      <c r="C73" s="1856"/>
      <c r="D73" s="1856"/>
      <c r="E73" s="1856"/>
      <c r="F73" s="1856"/>
      <c r="G73" s="1856"/>
      <c r="H73" s="1856"/>
      <c r="I73" s="1856"/>
      <c r="J73" s="1856"/>
      <c r="K73" s="383"/>
      <c r="L73" s="384"/>
      <c r="S73" s="384"/>
      <c r="T73" s="384"/>
      <c r="AF73" s="364"/>
      <c r="AJ73" s="55"/>
    </row>
    <row r="74" spans="1:39" s="29" customFormat="1" ht="14.55" customHeight="1">
      <c r="B74" s="1856"/>
      <c r="C74" s="1856"/>
      <c r="D74" s="1856"/>
      <c r="E74" s="1856"/>
      <c r="F74" s="1856"/>
      <c r="G74" s="1856"/>
      <c r="H74" s="1856"/>
      <c r="I74" s="1856"/>
      <c r="J74" s="1856"/>
      <c r="K74" s="1856"/>
      <c r="L74" s="29" t="s">
        <v>251</v>
      </c>
      <c r="S74" s="55"/>
      <c r="T74" s="29" t="s">
        <v>252</v>
      </c>
      <c r="AE74" s="415"/>
      <c r="AF74" s="364"/>
      <c r="AJ74" s="55"/>
    </row>
    <row r="75" spans="1:39" s="29" customFormat="1" ht="14.55" customHeight="1">
      <c r="A75" s="401"/>
      <c r="B75" s="1855"/>
      <c r="C75" s="1855"/>
      <c r="D75" s="1855"/>
      <c r="E75" s="1855"/>
      <c r="F75" s="1855"/>
      <c r="G75" s="1855"/>
      <c r="H75" s="1855"/>
      <c r="I75" s="1855"/>
      <c r="J75" s="1855"/>
      <c r="K75" s="383"/>
      <c r="S75" s="55"/>
      <c r="AE75" s="55"/>
      <c r="AF75" s="364"/>
      <c r="AJ75" s="55"/>
    </row>
    <row r="76" spans="1:39" ht="13.95" customHeight="1">
      <c r="B76" s="1848"/>
      <c r="C76" s="1848"/>
      <c r="D76" s="1848"/>
      <c r="E76" s="1848"/>
      <c r="F76" s="1848"/>
      <c r="G76" s="1848"/>
      <c r="H76"/>
      <c r="I76"/>
      <c r="J76"/>
      <c r="K76"/>
    </row>
  </sheetData>
  <customSheetViews>
    <customSheetView guid="{CFB8F6A3-286B-44DA-98E2-E06FA9DC17D9}" scale="85" showGridLines="0">
      <pane xSplit="1" ySplit="6" topLeftCell="B7" activePane="bottomRight" state="frozen"/>
      <selection pane="bottomRight" activeCell="J18" sqref="J18"/>
      <colBreaks count="3" manualBreakCount="3">
        <brk id="11" max="1048575" man="1"/>
        <brk id="20" max="68" man="1"/>
        <brk id="28" max="68" man="1"/>
      </colBreaks>
      <pageMargins left="0" right="0" top="0" bottom="0" header="0" footer="0"/>
      <pageSetup paperSize="9" scale="80" firstPageNumber="4" orientation="portrait" useFirstPageNumber="1" r:id="rId1"/>
      <headerFooter alignWithMargins="0"/>
    </customSheetView>
    <customSheetView guid="{429188B7-F8E8-41E0-BAA6-8F869C883D4F}" scale="70" showGridLines="0">
      <pane xSplit="1" ySplit="6" topLeftCell="W7" activePane="bottomRight" state="frozen"/>
      <selection pane="bottomRight" activeCell="A2" sqref="A2"/>
      <colBreaks count="4" manualBreakCount="4">
        <brk id="11" max="1048575" man="1"/>
        <brk id="19" min="2" max="70" man="1"/>
        <brk id="26" min="2" max="72" man="1"/>
        <brk id="30" min="2" max="70" man="1"/>
      </colBreaks>
      <pageMargins left="0" right="0" top="0" bottom="0" header="0" footer="0"/>
      <pageSetup paperSize="8" firstPageNumber="4" orientation="portrait" r:id="rId2"/>
      <headerFooter alignWithMargins="0">
        <oddHeader>&amp;L&amp;16 １　市　勢</oddHeader>
      </headerFooter>
    </customSheetView>
  </customSheetViews>
  <mergeCells count="36">
    <mergeCell ref="B76:G76"/>
    <mergeCell ref="Q3:Q5"/>
    <mergeCell ref="R3:R5"/>
    <mergeCell ref="T3:T5"/>
    <mergeCell ref="H3:K3"/>
    <mergeCell ref="B75:J75"/>
    <mergeCell ref="B73:J73"/>
    <mergeCell ref="B74:K74"/>
    <mergeCell ref="B3:B5"/>
    <mergeCell ref="B71:J71"/>
    <mergeCell ref="B72:K72"/>
    <mergeCell ref="I4:I5"/>
    <mergeCell ref="J4:J5"/>
    <mergeCell ref="M4:M5"/>
    <mergeCell ref="N4:N5"/>
    <mergeCell ref="F2:J2"/>
    <mergeCell ref="L3:N3"/>
    <mergeCell ref="W4:W5"/>
    <mergeCell ref="U3:X3"/>
    <mergeCell ref="S3:S5"/>
    <mergeCell ref="K4:K5"/>
    <mergeCell ref="Y3:Y5"/>
    <mergeCell ref="V4:V5"/>
    <mergeCell ref="X4:X5"/>
    <mergeCell ref="U4:U5"/>
    <mergeCell ref="AF3:AH3"/>
    <mergeCell ref="AF4:AF5"/>
    <mergeCell ref="AG4:AG5"/>
    <mergeCell ref="AH4:AH5"/>
    <mergeCell ref="Z3:Z5"/>
    <mergeCell ref="AA4:AA5"/>
    <mergeCell ref="AE3:AE5"/>
    <mergeCell ref="AD4:AD5"/>
    <mergeCell ref="AC4:AC5"/>
    <mergeCell ref="AB4:AB5"/>
    <mergeCell ref="AA3:AD3"/>
  </mergeCells>
  <phoneticPr fontId="2"/>
  <conditionalFormatting sqref="B42:AJ42">
    <cfRule type="containsBlanks" dxfId="1" priority="1">
      <formula>LEN(TRIM(B42))=0</formula>
    </cfRule>
  </conditionalFormatting>
  <dataValidations count="2">
    <dataValidation imeMode="disabled" allowBlank="1" showInputMessage="1" showErrorMessage="1" sqref="AB7:AJ13 AE42:AJ42 AC42 AA42 B43:S43 Y43:Z43 M7:Z13 V43:W43 M15:Z38 Z57 K57:X57 AB43:AJ68 K44:Z56 B39:Z42 B15:G38 I15:K38 L7:L38 I7:K13 H7:H38 B58:Z68 B7:G13 B44:J57 AB15:AJ41" xr:uid="{00000000-0002-0000-0200-000000000000}"/>
    <dataValidation allowBlank="1" showInputMessage="1" showErrorMessage="1" sqref="I14:K14 B14:G14 M14:AJ14" xr:uid="{F16AAE64-0CC7-431E-A2B3-5D8CE7A1B82F}"/>
  </dataValidations>
  <pageMargins left="0.74803149606299213" right="0.23622047244094491" top="0.98425196850393704" bottom="0.39370078740157483" header="0.59055118110236227" footer="0.31496062992125984"/>
  <pageSetup paperSize="9" scale="71" firstPageNumber="4" orientation="portrait" r:id="rId3"/>
  <headerFooter alignWithMargins="0">
    <oddHeader>&amp;L&amp;16 １　市　勢</oddHeader>
  </headerFooter>
  <colBreaks count="4" manualBreakCount="4">
    <brk id="11" min="2" max="74" man="1"/>
    <brk id="19" min="2" max="74" man="1"/>
    <brk id="26" min="2" max="74" man="1"/>
    <brk id="30" min="2" max="74" man="1"/>
  </col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E80"/>
  <sheetViews>
    <sheetView showGridLines="0" view="pageBreakPreview" zoomScale="90" zoomScaleNormal="90" zoomScaleSheetLayoutView="90" workbookViewId="0">
      <pane xSplit="1" ySplit="6" topLeftCell="B7" activePane="bottomRight" state="frozen"/>
      <selection pane="topRight" activeCell="J20" sqref="J19:J20"/>
      <selection pane="bottomLeft" activeCell="J20" sqref="J19:J20"/>
      <selection pane="bottomRight" activeCell="N62" sqref="N62"/>
    </sheetView>
  </sheetViews>
  <sheetFormatPr defaultColWidth="8.88671875" defaultRowHeight="13.2"/>
  <cols>
    <col min="1" max="1" width="12.44140625" customWidth="1"/>
    <col min="2" max="2" width="9.33203125" customWidth="1"/>
    <col min="3" max="3" width="11" customWidth="1"/>
    <col min="4" max="4" width="9.109375" customWidth="1"/>
    <col min="5" max="5" width="10.44140625" customWidth="1"/>
    <col min="6" max="6" width="11.6640625" customWidth="1"/>
    <col min="7" max="7" width="11.109375" customWidth="1"/>
    <col min="8" max="8" width="14.6640625" customWidth="1"/>
    <col min="9" max="9" width="13" customWidth="1"/>
    <col min="10" max="10" width="10.109375" customWidth="1"/>
    <col min="11" max="11" width="13" customWidth="1"/>
  </cols>
  <sheetData>
    <row r="1" spans="1:31" ht="19.2">
      <c r="A1" s="1" t="s">
        <v>253</v>
      </c>
    </row>
    <row r="2" spans="1:31" ht="18.75" customHeight="1">
      <c r="B2" s="1"/>
      <c r="J2" s="1"/>
    </row>
    <row r="3" spans="1:31" ht="17.25" customHeight="1">
      <c r="A3" s="850" t="s">
        <v>90</v>
      </c>
      <c r="B3" s="1128" t="s">
        <v>254</v>
      </c>
      <c r="C3" s="486"/>
      <c r="D3" s="1843" t="s">
        <v>255</v>
      </c>
      <c r="E3" s="1877"/>
      <c r="F3" s="1877"/>
      <c r="G3" s="1878"/>
      <c r="H3" s="1873" t="s">
        <v>256</v>
      </c>
      <c r="I3" s="1870" t="s">
        <v>257</v>
      </c>
      <c r="J3" s="1129" t="s">
        <v>258</v>
      </c>
      <c r="K3" s="1130"/>
    </row>
    <row r="4" spans="1:31" ht="17.25" customHeight="1">
      <c r="A4" s="1131"/>
      <c r="B4" s="1132"/>
      <c r="C4" s="1866" t="s">
        <v>259</v>
      </c>
      <c r="D4" s="1868"/>
      <c r="E4" s="1869"/>
      <c r="F4" s="1879" t="s">
        <v>260</v>
      </c>
      <c r="G4" s="1866" t="s">
        <v>261</v>
      </c>
      <c r="H4" s="1874"/>
      <c r="I4" s="1871"/>
      <c r="J4" s="1513"/>
      <c r="K4" s="1864" t="s">
        <v>262</v>
      </c>
    </row>
    <row r="5" spans="1:31" ht="17.25" customHeight="1">
      <c r="A5" s="1131"/>
      <c r="B5" s="1132"/>
      <c r="C5" s="1867"/>
      <c r="D5" s="1134" t="s">
        <v>263</v>
      </c>
      <c r="E5" s="1135" t="s">
        <v>264</v>
      </c>
      <c r="F5" s="1880"/>
      <c r="G5" s="1867"/>
      <c r="H5" s="1875"/>
      <c r="I5" s="1871"/>
      <c r="J5" s="1513"/>
      <c r="K5" s="1865"/>
    </row>
    <row r="6" spans="1:31" ht="17.25" customHeight="1">
      <c r="A6" s="853" t="s">
        <v>134</v>
      </c>
      <c r="B6" s="857" t="s">
        <v>135</v>
      </c>
      <c r="C6" s="493" t="s">
        <v>137</v>
      </c>
      <c r="D6" s="493" t="s">
        <v>135</v>
      </c>
      <c r="E6" s="1015" t="s">
        <v>135</v>
      </c>
      <c r="F6" s="1015" t="s">
        <v>265</v>
      </c>
      <c r="G6" s="493" t="s">
        <v>266</v>
      </c>
      <c r="H6" s="1015"/>
      <c r="I6" s="1015" t="s">
        <v>137</v>
      </c>
      <c r="J6" s="1136" t="s">
        <v>137</v>
      </c>
      <c r="K6" s="490" t="s">
        <v>137</v>
      </c>
    </row>
    <row r="7" spans="1:31" s="370" customFormat="1" ht="15.75" customHeight="1">
      <c r="A7" s="766" t="s">
        <v>147</v>
      </c>
      <c r="B7" s="1137">
        <v>3350</v>
      </c>
      <c r="C7" s="521">
        <v>0.7</v>
      </c>
      <c r="D7" s="1416">
        <v>1257</v>
      </c>
      <c r="E7" s="1415">
        <v>5</v>
      </c>
      <c r="F7" s="1415">
        <v>43.8</v>
      </c>
      <c r="G7" s="1416">
        <v>318600</v>
      </c>
      <c r="H7" s="1415">
        <v>97.5</v>
      </c>
      <c r="I7" s="1418">
        <v>25.7</v>
      </c>
      <c r="J7" s="1418">
        <v>21.4</v>
      </c>
      <c r="K7" s="1027">
        <v>16.899999999999999</v>
      </c>
    </row>
    <row r="8" spans="1:31" s="370" customFormat="1" ht="15.75" customHeight="1">
      <c r="A8" s="779" t="s">
        <v>149</v>
      </c>
      <c r="B8" s="1138">
        <v>3002</v>
      </c>
      <c r="C8" s="1038">
        <v>-0.1</v>
      </c>
      <c r="D8" s="1421">
        <v>1537</v>
      </c>
      <c r="E8" s="1425">
        <v>4.7140000000000004</v>
      </c>
      <c r="F8" s="1515">
        <v>43.5</v>
      </c>
      <c r="G8" s="1421">
        <v>325706</v>
      </c>
      <c r="H8" s="1420">
        <v>98.6</v>
      </c>
      <c r="I8" s="1423">
        <v>28.8</v>
      </c>
      <c r="J8" s="1423">
        <v>14.4</v>
      </c>
      <c r="K8" s="1426">
        <v>12.2</v>
      </c>
    </row>
    <row r="9" spans="1:31" s="370" customFormat="1" ht="15.75" customHeight="1">
      <c r="A9" s="766" t="s">
        <v>150</v>
      </c>
      <c r="B9" s="1139">
        <v>2465</v>
      </c>
      <c r="C9" s="1073">
        <v>0.3</v>
      </c>
      <c r="D9" s="1491">
        <v>1194</v>
      </c>
      <c r="E9" s="1485">
        <v>4.4000000000000004</v>
      </c>
      <c r="F9" s="1485">
        <v>42.1</v>
      </c>
      <c r="G9" s="1491">
        <v>315000</v>
      </c>
      <c r="H9" s="1485">
        <v>96.8</v>
      </c>
      <c r="I9" s="1516">
        <v>27</v>
      </c>
      <c r="J9" s="1516">
        <v>15.8</v>
      </c>
      <c r="K9" s="1517">
        <v>14.3</v>
      </c>
    </row>
    <row r="10" spans="1:31" s="370" customFormat="1" ht="15.75" customHeight="1">
      <c r="A10" s="779" t="s">
        <v>152</v>
      </c>
      <c r="B10" s="1140">
        <v>2483</v>
      </c>
      <c r="C10" s="1046">
        <v>2.1</v>
      </c>
      <c r="D10" s="1436">
        <v>1037</v>
      </c>
      <c r="E10" s="1435">
        <v>4.7</v>
      </c>
      <c r="F10" s="1446">
        <v>39.6</v>
      </c>
      <c r="G10" s="1436">
        <v>300900</v>
      </c>
      <c r="H10" s="1435">
        <v>97.6</v>
      </c>
      <c r="I10" s="1438">
        <v>27.9</v>
      </c>
      <c r="J10" s="1438">
        <v>20.2</v>
      </c>
      <c r="K10" s="1439">
        <v>13.3</v>
      </c>
      <c r="L10" s="326"/>
      <c r="M10" s="326"/>
      <c r="N10" s="326"/>
      <c r="O10" s="326"/>
      <c r="P10" s="326"/>
      <c r="S10" s="326"/>
      <c r="T10" s="326"/>
      <c r="U10" s="326"/>
      <c r="V10" s="326"/>
      <c r="W10" s="326"/>
      <c r="X10" s="326"/>
      <c r="Y10" s="326"/>
      <c r="Z10" s="326"/>
      <c r="AA10" s="326"/>
      <c r="AB10" s="326"/>
      <c r="AC10" s="326"/>
      <c r="AD10" s="326"/>
      <c r="AE10" s="326"/>
    </row>
    <row r="11" spans="1:31" s="370" customFormat="1" ht="15.75" customHeight="1">
      <c r="A11" s="766" t="s">
        <v>154</v>
      </c>
      <c r="B11" s="1137">
        <v>2239</v>
      </c>
      <c r="C11" s="658">
        <v>1.8</v>
      </c>
      <c r="D11" s="1416">
        <v>1200</v>
      </c>
      <c r="E11" s="1415">
        <v>4.2</v>
      </c>
      <c r="F11" s="1415">
        <v>40.799999999999997</v>
      </c>
      <c r="G11" s="1416">
        <v>303300</v>
      </c>
      <c r="H11" s="1415">
        <v>98.5</v>
      </c>
      <c r="I11" s="1418">
        <v>29.3</v>
      </c>
      <c r="J11" s="1418">
        <v>13.4</v>
      </c>
      <c r="K11" s="1443">
        <v>11</v>
      </c>
      <c r="L11"/>
      <c r="M11"/>
      <c r="N11"/>
      <c r="O11"/>
      <c r="P11"/>
      <c r="S11"/>
      <c r="T11"/>
      <c r="U11"/>
      <c r="V11"/>
      <c r="W11"/>
      <c r="X11"/>
      <c r="Y11"/>
      <c r="Z11"/>
      <c r="AA11"/>
      <c r="AB11"/>
      <c r="AC11"/>
      <c r="AD11"/>
      <c r="AE11"/>
    </row>
    <row r="12" spans="1:31" s="370" customFormat="1" ht="15.75" customHeight="1">
      <c r="A12" s="779" t="s">
        <v>155</v>
      </c>
      <c r="B12" s="1118">
        <v>2606</v>
      </c>
      <c r="C12" s="1452">
        <v>0.2</v>
      </c>
      <c r="D12" s="1393">
        <v>1439</v>
      </c>
      <c r="E12" s="1460">
        <v>4.7716473291707144</v>
      </c>
      <c r="F12" s="1446">
        <v>42.3</v>
      </c>
      <c r="G12" s="1393">
        <v>308700</v>
      </c>
      <c r="H12" s="1452">
        <v>97.8</v>
      </c>
      <c r="I12" s="1471">
        <v>23.7</v>
      </c>
      <c r="J12" s="1471">
        <v>18.2</v>
      </c>
      <c r="K12" s="1453">
        <v>17.899999999999999</v>
      </c>
    </row>
    <row r="13" spans="1:31" s="370" customFormat="1" ht="15.75" customHeight="1">
      <c r="A13" s="795" t="s">
        <v>156</v>
      </c>
      <c r="B13" s="1139">
        <v>2479</v>
      </c>
      <c r="C13" s="1073">
        <v>0.7</v>
      </c>
      <c r="D13" s="1491">
        <v>940</v>
      </c>
      <c r="E13" s="1518">
        <v>3.9</v>
      </c>
      <c r="F13" s="1485">
        <v>41.1</v>
      </c>
      <c r="G13" s="1491">
        <v>319500</v>
      </c>
      <c r="H13" s="1485">
        <v>100.7</v>
      </c>
      <c r="I13" s="1494">
        <v>27</v>
      </c>
      <c r="J13" s="1494">
        <v>18.100000000000001</v>
      </c>
      <c r="K13" s="1496">
        <v>31.7</v>
      </c>
    </row>
    <row r="14" spans="1:31" s="370" customFormat="1" ht="15.75" customHeight="1">
      <c r="A14" s="779" t="s">
        <v>157</v>
      </c>
      <c r="B14" s="516">
        <v>2175</v>
      </c>
      <c r="C14" s="517">
        <v>-0.1</v>
      </c>
      <c r="D14" s="1464">
        <v>1200</v>
      </c>
      <c r="E14" s="1465">
        <v>4.4000000000000004</v>
      </c>
      <c r="F14" s="1465">
        <v>40.200000000000003</v>
      </c>
      <c r="G14" s="1464">
        <v>316300</v>
      </c>
      <c r="H14" s="1465">
        <v>101.2</v>
      </c>
      <c r="I14" s="1519">
        <v>35.5</v>
      </c>
      <c r="J14" s="1519">
        <v>9.3000000000000007</v>
      </c>
      <c r="K14" s="1468">
        <v>10.5</v>
      </c>
      <c r="M14" s="524"/>
    </row>
    <row r="15" spans="1:31" s="370" customFormat="1" ht="15.75" customHeight="1">
      <c r="A15" s="795" t="s">
        <v>158</v>
      </c>
      <c r="B15" s="520">
        <v>2051</v>
      </c>
      <c r="C15" s="521">
        <v>-0.2</v>
      </c>
      <c r="D15" s="1430">
        <v>1254</v>
      </c>
      <c r="E15" s="1429">
        <v>3.96</v>
      </c>
      <c r="F15" s="1429">
        <v>43.8</v>
      </c>
      <c r="G15" s="1430">
        <v>338441</v>
      </c>
      <c r="H15" s="1429">
        <v>100.8</v>
      </c>
      <c r="I15" s="1411">
        <v>31.4</v>
      </c>
      <c r="J15" s="1411">
        <v>13.3</v>
      </c>
      <c r="K15" s="1432">
        <v>12</v>
      </c>
    </row>
    <row r="16" spans="1:31" s="370" customFormat="1" ht="15.75" customHeight="1">
      <c r="A16" s="779" t="s">
        <v>160</v>
      </c>
      <c r="B16" s="1118">
        <v>3758</v>
      </c>
      <c r="C16" s="638">
        <v>0.2</v>
      </c>
      <c r="D16" s="1393">
        <v>1527</v>
      </c>
      <c r="E16" s="1452">
        <v>4.9000000000000004</v>
      </c>
      <c r="F16" s="1452">
        <v>42.1</v>
      </c>
      <c r="G16" s="1393">
        <v>324400</v>
      </c>
      <c r="H16" s="1452">
        <v>100.4</v>
      </c>
      <c r="I16" s="1471">
        <v>28.7</v>
      </c>
      <c r="J16" s="1471">
        <v>9.1999999999999993</v>
      </c>
      <c r="K16" s="1453">
        <v>7.5</v>
      </c>
    </row>
    <row r="17" spans="1:11" s="370" customFormat="1" ht="15.75" customHeight="1">
      <c r="A17" s="795" t="s">
        <v>162</v>
      </c>
      <c r="B17" s="520">
        <v>2062</v>
      </c>
      <c r="C17" s="521">
        <v>0.28999999999999998</v>
      </c>
      <c r="D17" s="1430">
        <v>1295</v>
      </c>
      <c r="E17" s="1429">
        <v>4.8099999999999996</v>
      </c>
      <c r="F17" s="1429">
        <v>40</v>
      </c>
      <c r="G17" s="1430">
        <v>307100</v>
      </c>
      <c r="H17" s="1411">
        <v>99.3</v>
      </c>
      <c r="I17" s="1411">
        <v>32.799999999999997</v>
      </c>
      <c r="J17" s="1411">
        <v>16.43</v>
      </c>
      <c r="K17" s="1432">
        <v>11.54</v>
      </c>
    </row>
    <row r="18" spans="1:11" s="370" customFormat="1" ht="15.75" customHeight="1">
      <c r="A18" s="779" t="s">
        <v>164</v>
      </c>
      <c r="B18" s="1118">
        <v>3304</v>
      </c>
      <c r="C18" s="638">
        <v>0.1</v>
      </c>
      <c r="D18" s="1393">
        <v>2012</v>
      </c>
      <c r="E18" s="1452">
        <v>3.9</v>
      </c>
      <c r="F18" s="1452">
        <v>41.8</v>
      </c>
      <c r="G18" s="1393">
        <v>322702</v>
      </c>
      <c r="H18" s="1452">
        <v>101.7</v>
      </c>
      <c r="I18" s="1471">
        <v>27.9</v>
      </c>
      <c r="J18" s="1471">
        <v>13</v>
      </c>
      <c r="K18" s="1453">
        <v>14.3</v>
      </c>
    </row>
    <row r="19" spans="1:11" s="370" customFormat="1" ht="15.75" customHeight="1">
      <c r="A19" s="795" t="s">
        <v>166</v>
      </c>
      <c r="B19" s="520">
        <v>2574</v>
      </c>
      <c r="C19" s="521">
        <f>1-(2587/B19)</f>
        <v>-5.050505050504972E-3</v>
      </c>
      <c r="D19" s="1430">
        <v>1338</v>
      </c>
      <c r="E19" s="1429">
        <f>D19*(1000/332063)</f>
        <v>4.0293558752405421</v>
      </c>
      <c r="F19" s="1429">
        <v>42.7</v>
      </c>
      <c r="G19" s="1430">
        <v>327100</v>
      </c>
      <c r="H19" s="1429">
        <v>99.1</v>
      </c>
      <c r="I19" s="1411">
        <v>23.1</v>
      </c>
      <c r="J19" s="1411">
        <v>14.7</v>
      </c>
      <c r="K19" s="1432">
        <v>12.8</v>
      </c>
    </row>
    <row r="20" spans="1:11" s="370" customFormat="1" ht="15.75" customHeight="1">
      <c r="A20" s="779" t="s">
        <v>167</v>
      </c>
      <c r="B20" s="1118">
        <v>2363</v>
      </c>
      <c r="C20" s="638">
        <v>0.6</v>
      </c>
      <c r="D20" s="1393">
        <v>1469</v>
      </c>
      <c r="E20" s="1452">
        <v>4</v>
      </c>
      <c r="F20" s="1452">
        <v>43.3</v>
      </c>
      <c r="G20" s="1393">
        <v>333396</v>
      </c>
      <c r="H20" s="1452">
        <v>99.7</v>
      </c>
      <c r="I20" s="1471">
        <v>26.7</v>
      </c>
      <c r="J20" s="1471">
        <v>10.6</v>
      </c>
      <c r="K20" s="1453">
        <v>10.9</v>
      </c>
    </row>
    <row r="21" spans="1:11" s="370" customFormat="1" ht="15.75" customHeight="1">
      <c r="A21" s="795" t="s">
        <v>173</v>
      </c>
      <c r="B21" s="520">
        <v>2335</v>
      </c>
      <c r="C21" s="521">
        <v>0.7</v>
      </c>
      <c r="D21" s="1430">
        <v>1339</v>
      </c>
      <c r="E21" s="1429">
        <v>3.8</v>
      </c>
      <c r="F21" s="1429">
        <v>42</v>
      </c>
      <c r="G21" s="1430">
        <v>320600</v>
      </c>
      <c r="H21" s="1411">
        <v>101.7</v>
      </c>
      <c r="I21" s="1411">
        <v>29.3</v>
      </c>
      <c r="J21" s="1411">
        <v>12.8</v>
      </c>
      <c r="K21" s="1432">
        <v>11.9</v>
      </c>
    </row>
    <row r="22" spans="1:11" s="370" customFormat="1" ht="15.75" customHeight="1">
      <c r="A22" s="779" t="s">
        <v>267</v>
      </c>
      <c r="B22" s="1118">
        <v>4775</v>
      </c>
      <c r="C22" s="638">
        <v>0.65</v>
      </c>
      <c r="D22" s="1393">
        <v>1762</v>
      </c>
      <c r="E22" s="1452">
        <v>2.91</v>
      </c>
      <c r="F22" s="1452">
        <v>40.200000000000003</v>
      </c>
      <c r="G22" s="1393">
        <v>314640</v>
      </c>
      <c r="H22" s="1452">
        <v>101.2</v>
      </c>
      <c r="I22" s="1471">
        <v>28.1</v>
      </c>
      <c r="J22" s="1471">
        <v>16.899999999999999</v>
      </c>
      <c r="K22" s="1453">
        <v>13</v>
      </c>
    </row>
    <row r="23" spans="1:11" s="370" customFormat="1" ht="15.75" customHeight="1">
      <c r="A23" s="795" t="s">
        <v>178</v>
      </c>
      <c r="B23" s="520">
        <v>2920</v>
      </c>
      <c r="C23" s="521">
        <v>1.17</v>
      </c>
      <c r="D23" s="1430">
        <v>1068</v>
      </c>
      <c r="E23" s="1429">
        <v>3.09</v>
      </c>
      <c r="F23" s="1429">
        <v>39.5</v>
      </c>
      <c r="G23" s="1430">
        <v>311800</v>
      </c>
      <c r="H23" s="1429">
        <v>103.3</v>
      </c>
      <c r="I23" s="1411">
        <v>34.1</v>
      </c>
      <c r="J23" s="1411">
        <v>21.91</v>
      </c>
      <c r="K23" s="1432">
        <v>15</v>
      </c>
    </row>
    <row r="24" spans="1:11" s="370" customFormat="1" ht="15.75" customHeight="1">
      <c r="A24" s="779" t="s">
        <v>179</v>
      </c>
      <c r="B24" s="1118">
        <v>5034</v>
      </c>
      <c r="C24" s="638">
        <v>-0.21803766105054478</v>
      </c>
      <c r="D24" s="1393">
        <v>1978</v>
      </c>
      <c r="E24" s="1452">
        <v>3.0620522251738467</v>
      </c>
      <c r="F24" s="1446">
        <v>40.1</v>
      </c>
      <c r="G24" s="1393">
        <v>303542</v>
      </c>
      <c r="H24" s="1452">
        <v>99.7</v>
      </c>
      <c r="I24" s="1471">
        <v>30.7</v>
      </c>
      <c r="J24" s="1471">
        <v>9.9</v>
      </c>
      <c r="K24" s="1453">
        <v>13</v>
      </c>
    </row>
    <row r="25" spans="1:11" s="370" customFormat="1" ht="15.75" customHeight="1">
      <c r="A25" s="795" t="s">
        <v>182</v>
      </c>
      <c r="B25" s="1137">
        <v>2809</v>
      </c>
      <c r="C25" s="521">
        <v>0.8</v>
      </c>
      <c r="D25" s="1416">
        <v>1268</v>
      </c>
      <c r="E25" s="1415">
        <v>2.9</v>
      </c>
      <c r="F25" s="1415">
        <v>39.4</v>
      </c>
      <c r="G25" s="1416">
        <v>302300</v>
      </c>
      <c r="H25" s="1415">
        <v>102.6</v>
      </c>
      <c r="I25" s="1418">
        <v>34.200000000000003</v>
      </c>
      <c r="J25" s="1418">
        <v>18.399999999999999</v>
      </c>
      <c r="K25" s="1443">
        <v>18.3</v>
      </c>
    </row>
    <row r="26" spans="1:11" s="370" customFormat="1" ht="15.75" customHeight="1">
      <c r="A26" s="779" t="s">
        <v>184</v>
      </c>
      <c r="B26" s="1118">
        <v>2913</v>
      </c>
      <c r="C26" s="638">
        <v>1.5</v>
      </c>
      <c r="D26" s="1393">
        <v>2043</v>
      </c>
      <c r="E26" s="1452">
        <v>3.6</v>
      </c>
      <c r="F26" s="1446">
        <v>43.2</v>
      </c>
      <c r="G26" s="1393">
        <v>317600</v>
      </c>
      <c r="H26" s="1452">
        <v>97.5</v>
      </c>
      <c r="I26" s="1471">
        <v>26.1</v>
      </c>
      <c r="J26" s="1471">
        <v>13.8</v>
      </c>
      <c r="K26" s="1453">
        <v>12.8</v>
      </c>
    </row>
    <row r="27" spans="1:11" s="370" customFormat="1" ht="15.75" customHeight="1">
      <c r="A27" s="795" t="s">
        <v>186</v>
      </c>
      <c r="B27" s="1137">
        <v>3268</v>
      </c>
      <c r="C27" s="658" t="s">
        <v>268</v>
      </c>
      <c r="D27" s="1416">
        <v>1538</v>
      </c>
      <c r="E27" s="1415">
        <v>3.9</v>
      </c>
      <c r="F27" s="1415">
        <v>43.1</v>
      </c>
      <c r="G27" s="1416">
        <v>320100</v>
      </c>
      <c r="H27" s="1415">
        <v>100.6</v>
      </c>
      <c r="I27" s="1418">
        <v>29</v>
      </c>
      <c r="J27" s="1520">
        <v>9.4</v>
      </c>
      <c r="K27" s="1443">
        <v>8.5</v>
      </c>
    </row>
    <row r="28" spans="1:11" s="370" customFormat="1" ht="15.75" customHeight="1">
      <c r="A28" s="779" t="s">
        <v>187</v>
      </c>
      <c r="B28" s="1118">
        <v>4044</v>
      </c>
      <c r="C28" s="638">
        <v>-0.7</v>
      </c>
      <c r="D28" s="1393">
        <v>1481</v>
      </c>
      <c r="E28" s="1452">
        <v>3.6</v>
      </c>
      <c r="F28" s="1446">
        <v>41.3</v>
      </c>
      <c r="G28" s="1393">
        <v>324700</v>
      </c>
      <c r="H28" s="1452">
        <v>100.4</v>
      </c>
      <c r="I28" s="1471">
        <v>28.4</v>
      </c>
      <c r="J28" s="1471">
        <v>15.9</v>
      </c>
      <c r="K28" s="1453">
        <v>11</v>
      </c>
    </row>
    <row r="29" spans="1:11" s="370" customFormat="1" ht="15.75" customHeight="1">
      <c r="A29" s="795" t="s">
        <v>269</v>
      </c>
      <c r="B29" s="1137">
        <v>3188</v>
      </c>
      <c r="C29" s="658">
        <v>-2.7455765710799227</v>
      </c>
      <c r="D29" s="1430">
        <v>1432</v>
      </c>
      <c r="E29" s="1429">
        <v>3.1</v>
      </c>
      <c r="F29" s="1415">
        <v>41.4</v>
      </c>
      <c r="G29" s="1416">
        <v>318500</v>
      </c>
      <c r="H29" s="1415">
        <v>99.5</v>
      </c>
      <c r="I29" s="1418">
        <v>30.4</v>
      </c>
      <c r="J29" s="1418">
        <v>14</v>
      </c>
      <c r="K29" s="1443">
        <v>10</v>
      </c>
    </row>
    <row r="30" spans="1:11" s="370" customFormat="1" ht="15.75" customHeight="1">
      <c r="A30" s="779" t="s">
        <v>270</v>
      </c>
      <c r="B30" s="1118">
        <v>2285</v>
      </c>
      <c r="C30" s="638">
        <v>0.26</v>
      </c>
      <c r="D30" s="1393">
        <v>1215</v>
      </c>
      <c r="E30" s="1452">
        <v>4.7</v>
      </c>
      <c r="F30" s="1452">
        <v>43.1</v>
      </c>
      <c r="G30" s="1393">
        <v>333700</v>
      </c>
      <c r="H30" s="1452">
        <v>99.6</v>
      </c>
      <c r="I30" s="1471">
        <v>34.200000000000003</v>
      </c>
      <c r="J30" s="1471">
        <v>19.2</v>
      </c>
      <c r="K30" s="1453">
        <v>15.5</v>
      </c>
    </row>
    <row r="31" spans="1:11" s="370" customFormat="1" ht="15.75" customHeight="1">
      <c r="A31" s="795" t="s">
        <v>271</v>
      </c>
      <c r="B31" s="1137">
        <v>1765</v>
      </c>
      <c r="C31" s="658">
        <v>0.2</v>
      </c>
      <c r="D31" s="1416">
        <v>810</v>
      </c>
      <c r="E31" s="1415">
        <v>4.3</v>
      </c>
      <c r="F31" s="1415">
        <v>41.9</v>
      </c>
      <c r="G31" s="1416">
        <v>307400</v>
      </c>
      <c r="H31" s="1429">
        <v>98.3</v>
      </c>
      <c r="I31" s="1418">
        <v>25.2</v>
      </c>
      <c r="J31" s="1411">
        <v>10</v>
      </c>
      <c r="K31" s="1432">
        <v>6.7</v>
      </c>
    </row>
    <row r="32" spans="1:11" s="370" customFormat="1" ht="15.75" customHeight="1">
      <c r="A32" s="779" t="s">
        <v>193</v>
      </c>
      <c r="B32" s="1118">
        <v>2822</v>
      </c>
      <c r="C32" s="638">
        <v>-0.35</v>
      </c>
      <c r="D32" s="1393">
        <v>1535</v>
      </c>
      <c r="E32" s="1452">
        <v>4.1486000000000001</v>
      </c>
      <c r="F32" s="1452">
        <v>44.6</v>
      </c>
      <c r="G32" s="1393">
        <v>339500</v>
      </c>
      <c r="H32" s="1452">
        <v>100.2</v>
      </c>
      <c r="I32" s="1471">
        <v>33.9</v>
      </c>
      <c r="J32" s="1471">
        <v>9.5</v>
      </c>
      <c r="K32" s="1453">
        <v>7.8</v>
      </c>
    </row>
    <row r="33" spans="1:11" s="370" customFormat="1" ht="15.75" customHeight="1">
      <c r="A33" s="795" t="s">
        <v>272</v>
      </c>
      <c r="B33" s="1137">
        <v>2119</v>
      </c>
      <c r="C33" s="658">
        <v>0</v>
      </c>
      <c r="D33" s="1416">
        <v>1053</v>
      </c>
      <c r="E33" s="1415">
        <v>4.5</v>
      </c>
      <c r="F33" s="1415">
        <v>42.3</v>
      </c>
      <c r="G33" s="1416">
        <v>317200</v>
      </c>
      <c r="H33" s="1415">
        <v>99.3</v>
      </c>
      <c r="I33" s="1418">
        <v>34</v>
      </c>
      <c r="J33" s="1418">
        <v>25</v>
      </c>
      <c r="K33" s="1443">
        <v>21.6</v>
      </c>
    </row>
    <row r="34" spans="1:11" s="370" customFormat="1" ht="15.75" customHeight="1">
      <c r="A34" s="779" t="s">
        <v>196</v>
      </c>
      <c r="B34" s="1118">
        <v>4206</v>
      </c>
      <c r="C34" s="638">
        <v>0.6</v>
      </c>
      <c r="D34" s="1393">
        <v>1511</v>
      </c>
      <c r="E34" s="1452">
        <v>3.8</v>
      </c>
      <c r="F34" s="1452">
        <v>41.1</v>
      </c>
      <c r="G34" s="1393">
        <v>320700</v>
      </c>
      <c r="H34" s="1452">
        <v>99.8</v>
      </c>
      <c r="I34" s="1471">
        <v>36.700000000000003</v>
      </c>
      <c r="J34" s="1471">
        <v>15.3</v>
      </c>
      <c r="K34" s="1468">
        <v>10.4</v>
      </c>
    </row>
    <row r="35" spans="1:11" s="370" customFormat="1" ht="15.75" customHeight="1">
      <c r="A35" s="795" t="s">
        <v>197</v>
      </c>
      <c r="B35" s="520">
        <v>3828</v>
      </c>
      <c r="C35" s="521">
        <v>1.1000000000000001</v>
      </c>
      <c r="D35" s="1430">
        <v>1283</v>
      </c>
      <c r="E35" s="1429">
        <v>3.5</v>
      </c>
      <c r="F35" s="1429">
        <v>39.4</v>
      </c>
      <c r="G35" s="1430">
        <v>321600</v>
      </c>
      <c r="H35" s="1429">
        <v>98.1</v>
      </c>
      <c r="I35" s="1411">
        <v>26.5</v>
      </c>
      <c r="J35" s="1411">
        <v>16.7</v>
      </c>
      <c r="K35" s="1432">
        <v>13.4</v>
      </c>
    </row>
    <row r="36" spans="1:11" s="370" customFormat="1" ht="15.75" customHeight="1">
      <c r="A36" s="779" t="s">
        <v>198</v>
      </c>
      <c r="B36" s="1118">
        <v>4064</v>
      </c>
      <c r="C36" s="638">
        <v>1.2</v>
      </c>
      <c r="D36" s="1393">
        <v>1155</v>
      </c>
      <c r="E36" s="1452">
        <v>3</v>
      </c>
      <c r="F36" s="1452">
        <v>40.1</v>
      </c>
      <c r="G36" s="1393">
        <v>303200</v>
      </c>
      <c r="H36" s="1452">
        <v>99.8</v>
      </c>
      <c r="I36" s="1471">
        <v>26.5</v>
      </c>
      <c r="J36" s="1471">
        <v>33.5</v>
      </c>
      <c r="K36" s="1468">
        <v>19.8</v>
      </c>
    </row>
    <row r="37" spans="1:11" s="370" customFormat="1" ht="15.75" customHeight="1">
      <c r="A37" s="795" t="s">
        <v>199</v>
      </c>
      <c r="B37" s="520">
        <v>3960</v>
      </c>
      <c r="C37" s="521">
        <v>1.313131313</v>
      </c>
      <c r="D37" s="1430">
        <v>1141</v>
      </c>
      <c r="E37" s="1429">
        <v>2.9918765700000001</v>
      </c>
      <c r="F37" s="1429">
        <v>41.5</v>
      </c>
      <c r="G37" s="1430">
        <v>315000</v>
      </c>
      <c r="H37" s="1429">
        <v>100.4</v>
      </c>
      <c r="I37" s="1411">
        <v>32.799999999999997</v>
      </c>
      <c r="J37" s="1411">
        <v>26.3</v>
      </c>
      <c r="K37" s="1521">
        <v>13.953488370000001</v>
      </c>
    </row>
    <row r="38" spans="1:11" s="370" customFormat="1" ht="15.75" customHeight="1">
      <c r="A38" s="779" t="s">
        <v>201</v>
      </c>
      <c r="B38" s="1118">
        <v>3427</v>
      </c>
      <c r="C38" s="638">
        <v>0.03</v>
      </c>
      <c r="D38" s="1393">
        <v>1492</v>
      </c>
      <c r="E38" s="1452">
        <v>3.5</v>
      </c>
      <c r="F38" s="1452">
        <v>42.3</v>
      </c>
      <c r="G38" s="1393">
        <v>324700</v>
      </c>
      <c r="H38" s="1452">
        <v>100</v>
      </c>
      <c r="I38" s="1471">
        <v>25</v>
      </c>
      <c r="J38" s="1471">
        <v>9.6</v>
      </c>
      <c r="K38" s="1453">
        <v>9.1</v>
      </c>
    </row>
    <row r="39" spans="1:11" s="370" customFormat="1" ht="15.75" customHeight="1">
      <c r="A39" s="795" t="s">
        <v>203</v>
      </c>
      <c r="B39" s="520">
        <v>2425</v>
      </c>
      <c r="C39" s="521">
        <v>1</v>
      </c>
      <c r="D39" s="1430">
        <v>1102</v>
      </c>
      <c r="E39" s="1429">
        <v>3.2</v>
      </c>
      <c r="F39" s="1429">
        <v>42</v>
      </c>
      <c r="G39" s="1430">
        <v>318600</v>
      </c>
      <c r="H39" s="1429">
        <v>99.9</v>
      </c>
      <c r="I39" s="1411">
        <v>37.200000000000003</v>
      </c>
      <c r="J39" s="1411">
        <v>8.9</v>
      </c>
      <c r="K39" s="1432">
        <v>7.5</v>
      </c>
    </row>
    <row r="40" spans="1:11" s="370" customFormat="1" ht="15.75" customHeight="1">
      <c r="A40" s="779" t="s">
        <v>204</v>
      </c>
      <c r="B40" s="1118">
        <v>3559</v>
      </c>
      <c r="C40" s="638">
        <v>0.4</v>
      </c>
      <c r="D40" s="1393">
        <v>1118</v>
      </c>
      <c r="E40" s="1452">
        <v>2.7</v>
      </c>
      <c r="F40" s="1452">
        <v>43.3</v>
      </c>
      <c r="G40" s="1393">
        <v>327400</v>
      </c>
      <c r="H40" s="1452">
        <v>100</v>
      </c>
      <c r="I40" s="1471">
        <v>34.200000000000003</v>
      </c>
      <c r="J40" s="1471">
        <v>24.2</v>
      </c>
      <c r="K40" s="1453">
        <v>17</v>
      </c>
    </row>
    <row r="41" spans="1:11" s="370" customFormat="1" ht="15.75" customHeight="1">
      <c r="A41" s="795" t="s">
        <v>205</v>
      </c>
      <c r="B41" s="520">
        <v>2888</v>
      </c>
      <c r="C41" s="521">
        <f>2888/2875*100-100</f>
        <v>0.45217391304348098</v>
      </c>
      <c r="D41" s="1430">
        <v>1519</v>
      </c>
      <c r="E41" s="1429">
        <f>D41/378781*1000</f>
        <v>4.0102328258281164</v>
      </c>
      <c r="F41" s="1429">
        <v>41.8</v>
      </c>
      <c r="G41" s="1430">
        <v>312000</v>
      </c>
      <c r="H41" s="1429">
        <v>100.3</v>
      </c>
      <c r="I41" s="1411">
        <v>28.6</v>
      </c>
      <c r="J41" s="1411">
        <f>72/333*100</f>
        <v>21.621621621621621</v>
      </c>
      <c r="K41" s="1432">
        <f>54/241*100</f>
        <v>22.40663900414938</v>
      </c>
    </row>
    <row r="42" spans="1:11" s="370" customFormat="1" ht="15.75" customHeight="1">
      <c r="A42" s="779" t="s">
        <v>208</v>
      </c>
      <c r="B42" s="1118">
        <v>2458</v>
      </c>
      <c r="C42" s="638">
        <v>0.5</v>
      </c>
      <c r="D42" s="1393">
        <v>1164</v>
      </c>
      <c r="E42" s="1452">
        <v>3.3</v>
      </c>
      <c r="F42" s="1452">
        <v>41.5</v>
      </c>
      <c r="G42" s="1393">
        <v>307173</v>
      </c>
      <c r="H42" s="1452">
        <v>98.9</v>
      </c>
      <c r="I42" s="1471">
        <v>29.5</v>
      </c>
      <c r="J42" s="1471">
        <v>12.6</v>
      </c>
      <c r="K42" s="1453">
        <v>15.3</v>
      </c>
    </row>
    <row r="43" spans="1:11" s="370" customFormat="1" ht="15.75" customHeight="1">
      <c r="A43" s="795" t="s">
        <v>209</v>
      </c>
      <c r="B43" s="520">
        <v>2879</v>
      </c>
      <c r="C43" s="521">
        <v>-1.639904338</v>
      </c>
      <c r="D43" s="1430">
        <v>1267</v>
      </c>
      <c r="E43" s="1429">
        <v>3.19775879</v>
      </c>
      <c r="F43" s="1429">
        <v>44.1</v>
      </c>
      <c r="G43" s="1430">
        <v>318552</v>
      </c>
      <c r="H43" s="1429">
        <v>98</v>
      </c>
      <c r="I43" s="1411">
        <v>35.9</v>
      </c>
      <c r="J43" s="1411">
        <v>19.600000000000001</v>
      </c>
      <c r="K43" s="1432">
        <v>12.5</v>
      </c>
    </row>
    <row r="44" spans="1:11" s="370" customFormat="1" ht="15.75" customHeight="1">
      <c r="A44" s="779" t="s">
        <v>273</v>
      </c>
      <c r="B44" s="1118">
        <v>2413</v>
      </c>
      <c r="C44" s="638">
        <v>0.2</v>
      </c>
      <c r="D44" s="1393">
        <v>897</v>
      </c>
      <c r="E44" s="1452">
        <v>3.4</v>
      </c>
      <c r="F44" s="1452">
        <v>43.1</v>
      </c>
      <c r="G44" s="1393">
        <v>319700</v>
      </c>
      <c r="H44" s="1452">
        <v>98.3</v>
      </c>
      <c r="I44" s="1471">
        <v>33.6</v>
      </c>
      <c r="J44" s="1471">
        <v>17.8</v>
      </c>
      <c r="K44" s="1453">
        <v>15.9</v>
      </c>
    </row>
    <row r="45" spans="1:11" s="370" customFormat="1" ht="15.75" customHeight="1">
      <c r="A45" s="795" t="s">
        <v>274</v>
      </c>
      <c r="B45" s="520">
        <v>1235</v>
      </c>
      <c r="C45" s="521">
        <v>1.2</v>
      </c>
      <c r="D45" s="1430">
        <v>827</v>
      </c>
      <c r="E45" s="1429">
        <v>3.6</v>
      </c>
      <c r="F45" s="1429">
        <v>41.5</v>
      </c>
      <c r="G45" s="1430">
        <v>294095</v>
      </c>
      <c r="H45" s="1429">
        <v>94.1</v>
      </c>
      <c r="I45" s="1411">
        <v>28.4</v>
      </c>
      <c r="J45" s="1411">
        <v>15.2</v>
      </c>
      <c r="K45" s="1432">
        <v>13.5</v>
      </c>
    </row>
    <row r="46" spans="1:11" s="370" customFormat="1" ht="15.75" customHeight="1">
      <c r="A46" s="779" t="s">
        <v>215</v>
      </c>
      <c r="B46" s="1118">
        <v>3051</v>
      </c>
      <c r="C46" s="638">
        <v>-0.71591278880572418</v>
      </c>
      <c r="D46" s="1393">
        <v>1618</v>
      </c>
      <c r="E46" s="1452">
        <v>3.3591881477544514</v>
      </c>
      <c r="F46" s="1452">
        <v>41.2</v>
      </c>
      <c r="G46" s="1393">
        <v>306800</v>
      </c>
      <c r="H46" s="1452">
        <v>100.4</v>
      </c>
      <c r="I46" s="1471">
        <v>32.1</v>
      </c>
      <c r="J46" s="1471">
        <v>15.6</v>
      </c>
      <c r="K46" s="1453">
        <v>12.9</v>
      </c>
    </row>
    <row r="47" spans="1:11" s="370" customFormat="1" ht="15.75" customHeight="1">
      <c r="A47" s="795" t="s">
        <v>216</v>
      </c>
      <c r="B47" s="520">
        <v>4002</v>
      </c>
      <c r="C47" s="521">
        <v>0</v>
      </c>
      <c r="D47" s="1430">
        <v>1804</v>
      </c>
      <c r="E47" s="1429">
        <v>3.4</v>
      </c>
      <c r="F47" s="1429">
        <v>43.9</v>
      </c>
      <c r="G47" s="1430">
        <v>331300</v>
      </c>
      <c r="H47" s="1429">
        <v>101.2</v>
      </c>
      <c r="I47" s="1411">
        <v>35.299999999999997</v>
      </c>
      <c r="J47" s="1411">
        <v>11.8</v>
      </c>
      <c r="K47" s="1432">
        <v>12.4</v>
      </c>
    </row>
    <row r="48" spans="1:11" s="370" customFormat="1" ht="15.75" customHeight="1">
      <c r="A48" s="779" t="s">
        <v>218</v>
      </c>
      <c r="B48" s="1118">
        <v>3227</v>
      </c>
      <c r="C48" s="638">
        <v>-1.3</v>
      </c>
      <c r="D48" s="1393">
        <v>1578</v>
      </c>
      <c r="E48" s="1452">
        <v>3.4</v>
      </c>
      <c r="F48" s="1452">
        <v>41</v>
      </c>
      <c r="G48" s="1393">
        <v>306100</v>
      </c>
      <c r="H48" s="1452">
        <v>97.6</v>
      </c>
      <c r="I48" s="1471">
        <v>38</v>
      </c>
      <c r="J48" s="1471">
        <v>12.4</v>
      </c>
      <c r="K48" s="1453">
        <v>12.9</v>
      </c>
    </row>
    <row r="49" spans="1:11" s="370" customFormat="1" ht="15.75" customHeight="1">
      <c r="A49" s="795" t="s">
        <v>275</v>
      </c>
      <c r="B49" s="520">
        <v>2064</v>
      </c>
      <c r="C49" s="521">
        <v>1.2</v>
      </c>
      <c r="D49" s="1430">
        <v>1280</v>
      </c>
      <c r="E49" s="1429">
        <v>4.2</v>
      </c>
      <c r="F49" s="1429">
        <v>44.8</v>
      </c>
      <c r="G49" s="1430">
        <v>333000</v>
      </c>
      <c r="H49" s="1411">
        <v>100.4</v>
      </c>
      <c r="I49" s="1486">
        <v>21.3</v>
      </c>
      <c r="J49" s="1411">
        <v>21.8</v>
      </c>
      <c r="K49" s="1432">
        <v>12.9</v>
      </c>
    </row>
    <row r="50" spans="1:11" s="370" customFormat="1" ht="15.75" customHeight="1">
      <c r="A50" s="779" t="s">
        <v>220</v>
      </c>
      <c r="B50" s="1118">
        <v>3856</v>
      </c>
      <c r="C50" s="638">
        <v>0</v>
      </c>
      <c r="D50" s="1393">
        <v>1626</v>
      </c>
      <c r="E50" s="1452">
        <f>1626/482.204</f>
        <v>3.3720168227555143</v>
      </c>
      <c r="F50" s="1452">
        <v>41.3</v>
      </c>
      <c r="G50" s="1393">
        <v>319600</v>
      </c>
      <c r="H50" s="1452">
        <v>101.5</v>
      </c>
      <c r="I50" s="1471">
        <v>33.1</v>
      </c>
      <c r="J50" s="1471">
        <v>13.7</v>
      </c>
      <c r="K50" s="1453">
        <v>10.9</v>
      </c>
    </row>
    <row r="51" spans="1:11" s="370" customFormat="1" ht="15.75" customHeight="1">
      <c r="A51" s="795" t="s">
        <v>221</v>
      </c>
      <c r="B51" s="1139">
        <v>2660</v>
      </c>
      <c r="C51" s="1073">
        <v>-0.7</v>
      </c>
      <c r="D51" s="1491">
        <v>1100</v>
      </c>
      <c r="E51" s="1485">
        <v>3.1</v>
      </c>
      <c r="F51" s="1485">
        <v>40.9</v>
      </c>
      <c r="G51" s="1491">
        <v>312900</v>
      </c>
      <c r="H51" s="1485">
        <v>98.8</v>
      </c>
      <c r="I51" s="1494">
        <v>36</v>
      </c>
      <c r="J51" s="1494">
        <v>27.6</v>
      </c>
      <c r="K51" s="1496">
        <v>20.3</v>
      </c>
    </row>
    <row r="52" spans="1:11" s="370" customFormat="1" ht="15.75" customHeight="1">
      <c r="A52" s="779" t="s">
        <v>223</v>
      </c>
      <c r="B52" s="1118">
        <v>2814</v>
      </c>
      <c r="C52" s="638">
        <v>-1</v>
      </c>
      <c r="D52" s="1393">
        <v>1398</v>
      </c>
      <c r="E52" s="1452">
        <v>3.9</v>
      </c>
      <c r="F52" s="1452">
        <v>43.5</v>
      </c>
      <c r="G52" s="1393">
        <v>322000</v>
      </c>
      <c r="H52" s="1452">
        <v>99.2</v>
      </c>
      <c r="I52" s="1471">
        <v>31.8</v>
      </c>
      <c r="J52" s="1471">
        <v>8.6</v>
      </c>
      <c r="K52" s="1453">
        <v>9</v>
      </c>
    </row>
    <row r="53" spans="1:11" s="370" customFormat="1" ht="15.75" customHeight="1">
      <c r="A53" s="795" t="s">
        <v>276</v>
      </c>
      <c r="B53" s="1522">
        <v>1846</v>
      </c>
      <c r="C53" s="1429">
        <v>-1.1200000000000001</v>
      </c>
      <c r="D53" s="1430">
        <v>850</v>
      </c>
      <c r="E53" s="1429">
        <v>4.5999999999999996</v>
      </c>
      <c r="F53" s="1429">
        <v>43.33</v>
      </c>
      <c r="G53" s="1430">
        <v>314343</v>
      </c>
      <c r="H53" s="1429">
        <v>97</v>
      </c>
      <c r="I53" s="1429">
        <v>31.5</v>
      </c>
      <c r="J53" s="1429">
        <v>18.600000000000001</v>
      </c>
      <c r="K53" s="1432">
        <v>16.8</v>
      </c>
    </row>
    <row r="54" spans="1:11" s="370" customFormat="1" ht="15.75" customHeight="1">
      <c r="A54" s="779" t="s">
        <v>277</v>
      </c>
      <c r="B54" s="1118">
        <v>2509</v>
      </c>
      <c r="C54" s="638">
        <v>0.7</v>
      </c>
      <c r="D54" s="1523">
        <v>1085</v>
      </c>
      <c r="E54" s="1452">
        <v>5.4</v>
      </c>
      <c r="F54" s="1452">
        <v>43.5</v>
      </c>
      <c r="G54" s="1393">
        <v>321500</v>
      </c>
      <c r="H54" s="1452">
        <v>98.8</v>
      </c>
      <c r="I54" s="1471">
        <v>36.700000000000003</v>
      </c>
      <c r="J54" s="1471">
        <v>25.8</v>
      </c>
      <c r="K54" s="1453">
        <v>21.2</v>
      </c>
    </row>
    <row r="55" spans="1:11" s="370" customFormat="1" ht="15.75" customHeight="1">
      <c r="A55" s="795" t="s">
        <v>226</v>
      </c>
      <c r="B55" s="520">
        <v>3506</v>
      </c>
      <c r="C55" s="521">
        <v>0.1</v>
      </c>
      <c r="D55" s="1430">
        <v>1691</v>
      </c>
      <c r="E55" s="1429">
        <v>3.5</v>
      </c>
      <c r="F55" s="1429">
        <v>43</v>
      </c>
      <c r="G55" s="1430">
        <v>331857</v>
      </c>
      <c r="H55" s="1429">
        <v>100.5</v>
      </c>
      <c r="I55" s="1411">
        <v>29.1</v>
      </c>
      <c r="J55" s="1429">
        <v>9.1999999999999993</v>
      </c>
      <c r="K55" s="1432">
        <v>7.7</v>
      </c>
    </row>
    <row r="56" spans="1:11" s="370" customFormat="1" ht="15.75" customHeight="1">
      <c r="A56" s="779" t="s">
        <v>278</v>
      </c>
      <c r="B56" s="1118">
        <v>1804</v>
      </c>
      <c r="C56" s="638">
        <v>-0.9</v>
      </c>
      <c r="D56" s="1393">
        <v>1058</v>
      </c>
      <c r="E56" s="1452">
        <v>5</v>
      </c>
      <c r="F56" s="1452">
        <v>44.8</v>
      </c>
      <c r="G56" s="1393">
        <v>337113</v>
      </c>
      <c r="H56" s="1452">
        <v>98.3</v>
      </c>
      <c r="I56" s="1471">
        <v>24.8</v>
      </c>
      <c r="J56" s="1452">
        <v>10.16</v>
      </c>
      <c r="K56" s="1453">
        <v>6.5</v>
      </c>
    </row>
    <row r="57" spans="1:11" s="370" customFormat="1" ht="15.75" customHeight="1">
      <c r="A57" s="795" t="s">
        <v>228</v>
      </c>
      <c r="B57" s="520">
        <v>4073</v>
      </c>
      <c r="C57" s="521">
        <v>0</v>
      </c>
      <c r="D57" s="1430">
        <v>1695</v>
      </c>
      <c r="E57" s="1429">
        <v>3.6</v>
      </c>
      <c r="F57" s="1429">
        <v>40.9</v>
      </c>
      <c r="G57" s="1430">
        <v>316300</v>
      </c>
      <c r="H57" s="1411">
        <v>100.5</v>
      </c>
      <c r="I57" s="1411">
        <v>26.1</v>
      </c>
      <c r="J57" s="521">
        <v>18.8</v>
      </c>
      <c r="K57" s="1432">
        <v>15</v>
      </c>
    </row>
    <row r="58" spans="1:11" s="370" customFormat="1" ht="15.75" customHeight="1">
      <c r="A58" s="779" t="s">
        <v>229</v>
      </c>
      <c r="B58" s="1141">
        <v>2519</v>
      </c>
      <c r="C58" s="1079">
        <f>(B58/2562*100)-100</f>
        <v>-1.6783762685402053</v>
      </c>
      <c r="D58" s="1499">
        <v>1510</v>
      </c>
      <c r="E58" s="1425">
        <v>5.0999999999999996</v>
      </c>
      <c r="F58" s="1425">
        <v>43.4</v>
      </c>
      <c r="G58" s="1499">
        <v>331846</v>
      </c>
      <c r="H58" s="1425">
        <v>99.7</v>
      </c>
      <c r="I58" s="1506">
        <v>29</v>
      </c>
      <c r="J58" s="1425">
        <v>9.8000000000000007</v>
      </c>
      <c r="K58" s="1500">
        <v>10.7</v>
      </c>
    </row>
    <row r="59" spans="1:11" s="370" customFormat="1" ht="15.75" customHeight="1">
      <c r="A59" s="795" t="s">
        <v>230</v>
      </c>
      <c r="B59" s="520">
        <v>3806</v>
      </c>
      <c r="C59" s="521">
        <v>1.49</v>
      </c>
      <c r="D59" s="1430">
        <v>1511</v>
      </c>
      <c r="E59" s="1429">
        <v>3.6</v>
      </c>
      <c r="F59" s="1429">
        <v>41.9</v>
      </c>
      <c r="G59" s="1430">
        <v>315800</v>
      </c>
      <c r="H59" s="1429">
        <v>100.7</v>
      </c>
      <c r="I59" s="1411">
        <v>38.5</v>
      </c>
      <c r="J59" s="1429">
        <v>13.9</v>
      </c>
      <c r="K59" s="1432">
        <v>11.1</v>
      </c>
    </row>
    <row r="60" spans="1:11" s="370" customFormat="1" ht="15.75" customHeight="1">
      <c r="A60" s="779" t="s">
        <v>231</v>
      </c>
      <c r="B60" s="1118">
        <v>3394</v>
      </c>
      <c r="C60" s="638">
        <v>1</v>
      </c>
      <c r="D60" s="1393">
        <v>1884</v>
      </c>
      <c r="E60" s="1452">
        <v>3.7</v>
      </c>
      <c r="F60" s="1452">
        <v>43.4</v>
      </c>
      <c r="G60" s="1393">
        <v>321400</v>
      </c>
      <c r="H60" s="1452">
        <v>99</v>
      </c>
      <c r="I60" s="1471">
        <v>44.7</v>
      </c>
      <c r="J60" s="1452">
        <v>10.4</v>
      </c>
      <c r="K60" s="1453">
        <v>7.1</v>
      </c>
    </row>
    <row r="61" spans="1:11" s="370" customFormat="1" ht="15.75" customHeight="1">
      <c r="A61" s="795" t="s">
        <v>232</v>
      </c>
      <c r="B61" s="1139">
        <v>2872</v>
      </c>
      <c r="C61" s="1485">
        <v>0.6</v>
      </c>
      <c r="D61" s="1491">
        <v>1474</v>
      </c>
      <c r="E61" s="1485">
        <v>4.5999999999999996</v>
      </c>
      <c r="F61" s="1485">
        <v>41.9</v>
      </c>
      <c r="G61" s="1491">
        <v>317700</v>
      </c>
      <c r="H61" s="1485">
        <v>98.8</v>
      </c>
      <c r="I61" s="1494">
        <v>31.8</v>
      </c>
      <c r="J61" s="1494">
        <v>17</v>
      </c>
      <c r="K61" s="1496">
        <v>19.100000000000001</v>
      </c>
    </row>
    <row r="62" spans="1:11" s="370" customFormat="1" ht="15.75" customHeight="1">
      <c r="A62" s="779" t="s">
        <v>234</v>
      </c>
      <c r="B62" s="1118">
        <v>1883</v>
      </c>
      <c r="C62" s="638">
        <v>0.7</v>
      </c>
      <c r="D62" s="1523">
        <v>1360</v>
      </c>
      <c r="E62" s="1452">
        <v>4.5</v>
      </c>
      <c r="F62" s="1452">
        <v>43.1</v>
      </c>
      <c r="G62" s="1393">
        <v>327400</v>
      </c>
      <c r="H62" s="1452">
        <v>99.8</v>
      </c>
      <c r="I62" s="1471">
        <v>44.6</v>
      </c>
      <c r="J62" s="1471">
        <v>17.2</v>
      </c>
      <c r="K62" s="1453">
        <v>15.9</v>
      </c>
    </row>
    <row r="63" spans="1:11" s="370" customFormat="1" ht="15.75" customHeight="1">
      <c r="A63" s="795" t="s">
        <v>236</v>
      </c>
      <c r="B63" s="520">
        <v>3213</v>
      </c>
      <c r="C63" s="521">
        <f>24/3189*100</f>
        <v>0.75258701787394167</v>
      </c>
      <c r="D63" s="1430">
        <v>1800</v>
      </c>
      <c r="E63" s="1429">
        <f>D63/403</f>
        <v>4.4665012406947895</v>
      </c>
      <c r="F63" s="1429">
        <v>41.5</v>
      </c>
      <c r="G63" s="1430">
        <v>308200</v>
      </c>
      <c r="H63" s="1429">
        <v>97.8</v>
      </c>
      <c r="I63" s="1411">
        <v>22.7</v>
      </c>
      <c r="J63" s="1411">
        <v>12.7</v>
      </c>
      <c r="K63" s="1432">
        <v>12.4</v>
      </c>
    </row>
    <row r="64" spans="1:11" s="370" customFormat="1" ht="15.75" customHeight="1">
      <c r="A64" s="779" t="s">
        <v>279</v>
      </c>
      <c r="B64" s="1118">
        <v>2461</v>
      </c>
      <c r="C64" s="638">
        <v>-0.16</v>
      </c>
      <c r="D64" s="1523">
        <v>1242</v>
      </c>
      <c r="E64" s="1452">
        <v>5.1100000000000003</v>
      </c>
      <c r="F64" s="1452">
        <v>43.1</v>
      </c>
      <c r="G64" s="1393">
        <v>329300</v>
      </c>
      <c r="H64" s="1452">
        <v>98.7</v>
      </c>
      <c r="I64" s="1471">
        <v>26.4</v>
      </c>
      <c r="J64" s="1471">
        <v>11</v>
      </c>
      <c r="K64" s="1453">
        <v>9</v>
      </c>
    </row>
    <row r="65" spans="1:13" s="370" customFormat="1" ht="15.75" customHeight="1">
      <c r="A65" s="795" t="s">
        <v>238</v>
      </c>
      <c r="B65" s="520">
        <v>3380</v>
      </c>
      <c r="C65" s="521">
        <v>0.3</v>
      </c>
      <c r="D65" s="1430">
        <v>1825</v>
      </c>
      <c r="E65" s="1429">
        <v>3.8</v>
      </c>
      <c r="F65" s="1429">
        <v>40.4</v>
      </c>
      <c r="G65" s="1430">
        <v>315000</v>
      </c>
      <c r="H65" s="1429">
        <v>100.5</v>
      </c>
      <c r="I65" s="1411">
        <v>30.4</v>
      </c>
      <c r="J65" s="1411">
        <v>17.3</v>
      </c>
      <c r="K65" s="1432">
        <v>14</v>
      </c>
    </row>
    <row r="66" spans="1:13" s="370" customFormat="1" ht="15.75" customHeight="1">
      <c r="A66" s="779" t="s">
        <v>239</v>
      </c>
      <c r="B66" s="1141">
        <v>2469</v>
      </c>
      <c r="C66" s="1079">
        <v>-0.4</v>
      </c>
      <c r="D66" s="1524">
        <v>1538</v>
      </c>
      <c r="E66" s="1425">
        <v>3.8</v>
      </c>
      <c r="F66" s="1425">
        <v>40.6</v>
      </c>
      <c r="G66" s="1499">
        <v>311400</v>
      </c>
      <c r="H66" s="1425">
        <v>98.7</v>
      </c>
      <c r="I66" s="1506">
        <v>31.2</v>
      </c>
      <c r="J66" s="1506">
        <v>15.6</v>
      </c>
      <c r="K66" s="1500">
        <v>17.5</v>
      </c>
    </row>
    <row r="67" spans="1:13" s="370" customFormat="1" ht="15.75" customHeight="1">
      <c r="A67" s="795" t="s">
        <v>241</v>
      </c>
      <c r="B67" s="520">
        <v>5728</v>
      </c>
      <c r="C67" s="521">
        <v>0.7</v>
      </c>
      <c r="D67" s="1430">
        <v>2173</v>
      </c>
      <c r="E67" s="1429">
        <v>3.6</v>
      </c>
      <c r="F67" s="1429">
        <v>41.3</v>
      </c>
      <c r="G67" s="1430">
        <v>316100</v>
      </c>
      <c r="H67" s="1429">
        <v>99.7</v>
      </c>
      <c r="I67" s="1411">
        <v>36.5</v>
      </c>
      <c r="J67" s="1411">
        <v>17.3</v>
      </c>
      <c r="K67" s="1432">
        <v>22.8</v>
      </c>
      <c r="M67" s="62"/>
    </row>
    <row r="68" spans="1:13" s="370" customFormat="1" ht="15.75" customHeight="1" thickBot="1">
      <c r="A68" s="779" t="s">
        <v>243</v>
      </c>
      <c r="B68" s="787">
        <v>2412</v>
      </c>
      <c r="C68" s="1088">
        <v>1</v>
      </c>
      <c r="D68" s="1393">
        <v>1367</v>
      </c>
      <c r="E68" s="1452">
        <v>4.3</v>
      </c>
      <c r="F68" s="1452">
        <v>41</v>
      </c>
      <c r="G68" s="1393">
        <v>298300</v>
      </c>
      <c r="H68" s="1452">
        <v>97.7</v>
      </c>
      <c r="I68" s="1471">
        <v>39.4</v>
      </c>
      <c r="J68" s="1471">
        <v>17.8</v>
      </c>
      <c r="K68" s="1142">
        <v>20.399999999999999</v>
      </c>
    </row>
    <row r="69" spans="1:13" s="370" customFormat="1" ht="15.75" customHeight="1" thickTop="1">
      <c r="A69" s="816" t="s">
        <v>244</v>
      </c>
      <c r="B69" s="1143">
        <f>SUM(B7:B68)</f>
        <v>184079</v>
      </c>
      <c r="C69" s="1144" t="s">
        <v>153</v>
      </c>
      <c r="D69" s="1145">
        <f>SUM(D7:D68)</f>
        <v>86164</v>
      </c>
      <c r="E69" s="1144" t="s">
        <v>153</v>
      </c>
      <c r="F69" s="1144" t="s">
        <v>153</v>
      </c>
      <c r="G69" s="1144" t="s">
        <v>153</v>
      </c>
      <c r="H69" s="1146" t="s">
        <v>153</v>
      </c>
      <c r="I69" s="1147" t="s">
        <v>153</v>
      </c>
      <c r="J69" s="820" t="s">
        <v>153</v>
      </c>
      <c r="K69" s="1148" t="s">
        <v>153</v>
      </c>
    </row>
    <row r="70" spans="1:13" s="370" customFormat="1" ht="15.75" customHeight="1">
      <c r="A70" s="1149" t="s">
        <v>245</v>
      </c>
      <c r="B70" s="1150">
        <f>AVERAGE(B7:B68)</f>
        <v>2969.016129032258</v>
      </c>
      <c r="C70" s="1525">
        <f t="shared" ref="C70:K70" si="0">AVERAGE(C7:C68)</f>
        <v>0.24221367395722151</v>
      </c>
      <c r="D70" s="1526">
        <f t="shared" si="0"/>
        <v>1389.741935483871</v>
      </c>
      <c r="E70" s="1525">
        <f t="shared" si="0"/>
        <v>3.9177940294615801</v>
      </c>
      <c r="F70" s="1525">
        <f t="shared" si="0"/>
        <v>42.010161290322593</v>
      </c>
      <c r="G70" s="1526">
        <f t="shared" si="0"/>
        <v>318075.90322580643</v>
      </c>
      <c r="H70" s="1151">
        <f t="shared" si="0"/>
        <v>99.459677419354847</v>
      </c>
      <c r="I70" s="1527">
        <f t="shared" si="0"/>
        <v>30.951612903225808</v>
      </c>
      <c r="J70" s="1527">
        <f t="shared" si="0"/>
        <v>15.808413251961637</v>
      </c>
      <c r="K70" s="1528">
        <f t="shared" si="0"/>
        <v>13.729034312486281</v>
      </c>
      <c r="M70" s="62"/>
    </row>
    <row r="71" spans="1:13" s="69" customFormat="1" ht="13.2" customHeight="1">
      <c r="A71" s="1152" t="s">
        <v>246</v>
      </c>
      <c r="B71" s="1872" t="s">
        <v>280</v>
      </c>
      <c r="C71" s="1872"/>
      <c r="D71" s="1872"/>
      <c r="E71" s="1872"/>
      <c r="F71" s="1872"/>
      <c r="G71" s="1872"/>
      <c r="H71" s="1872"/>
      <c r="I71" s="1872"/>
      <c r="J71" s="1152"/>
      <c r="K71" s="1152"/>
    </row>
    <row r="72" spans="1:13" s="69" customFormat="1" ht="13.2" hidden="1" customHeight="1">
      <c r="B72" s="1876"/>
      <c r="C72" s="1876"/>
      <c r="D72" s="1876"/>
      <c r="E72" s="1876"/>
      <c r="F72" s="1876"/>
      <c r="G72" s="1876"/>
      <c r="H72" s="1876"/>
      <c r="I72" s="1876"/>
    </row>
    <row r="73" spans="1:13" s="69" customFormat="1" ht="11.55" hidden="1" customHeight="1">
      <c r="B73" s="1876"/>
      <c r="C73" s="1876"/>
      <c r="D73" s="1876"/>
      <c r="E73" s="1876"/>
      <c r="F73" s="1876"/>
      <c r="G73" s="1876"/>
      <c r="H73" s="1876"/>
      <c r="I73" s="1876"/>
    </row>
    <row r="74" spans="1:13" s="69" customFormat="1" ht="13.2" hidden="1" customHeight="1">
      <c r="B74" s="29"/>
      <c r="C74" s="29"/>
      <c r="D74" s="29"/>
      <c r="E74" s="29"/>
      <c r="F74" s="29"/>
      <c r="G74" s="29"/>
      <c r="H74" s="29"/>
      <c r="I74" s="29"/>
      <c r="J74" s="29"/>
      <c r="K74" s="29"/>
    </row>
    <row r="75" spans="1:13" s="69" customFormat="1" ht="13.2" hidden="1" customHeight="1">
      <c r="A75" s="55"/>
      <c r="B75" s="1876"/>
      <c r="C75" s="1876"/>
      <c r="D75" s="1876"/>
      <c r="E75" s="1876"/>
      <c r="F75" s="1876"/>
      <c r="G75" s="1876"/>
      <c r="H75" s="1876"/>
      <c r="I75" s="1876"/>
      <c r="J75" s="29"/>
      <c r="K75" s="392"/>
    </row>
    <row r="76" spans="1:13" s="69" customFormat="1" ht="13.2" hidden="1" customHeight="1">
      <c r="A76" s="55"/>
      <c r="B76" s="29"/>
      <c r="C76" s="29"/>
      <c r="D76" s="29"/>
      <c r="E76" s="29"/>
      <c r="F76" s="29"/>
      <c r="G76" s="29"/>
      <c r="H76" s="29"/>
      <c r="I76" s="29"/>
      <c r="J76" s="392"/>
      <c r="K76" s="392"/>
    </row>
    <row r="77" spans="1:13" s="69" customFormat="1" ht="13.2" customHeight="1">
      <c r="A77" s="55"/>
      <c r="B77" s="392"/>
      <c r="C77" s="392"/>
      <c r="D77" s="392"/>
      <c r="E77" s="392"/>
      <c r="F77" s="392"/>
      <c r="G77" s="392"/>
      <c r="H77" s="392"/>
      <c r="I77" s="392"/>
      <c r="J77" s="392"/>
      <c r="K77" s="392"/>
    </row>
    <row r="78" spans="1:13">
      <c r="A78" s="55"/>
      <c r="B78" s="365"/>
      <c r="C78" s="365"/>
      <c r="D78" s="365"/>
      <c r="E78" s="365"/>
      <c r="F78" s="365"/>
      <c r="G78" s="365"/>
      <c r="H78" s="365"/>
      <c r="I78" s="365"/>
      <c r="J78" s="365"/>
      <c r="K78" s="365"/>
    </row>
    <row r="80" spans="1:13">
      <c r="C80" s="370"/>
      <c r="D80" s="370"/>
      <c r="E80" s="370"/>
      <c r="F80" s="370"/>
      <c r="G80" s="370"/>
      <c r="H80" s="370"/>
      <c r="I80" s="370"/>
      <c r="K80" s="370"/>
    </row>
  </sheetData>
  <customSheetViews>
    <customSheetView guid="{CFB8F6A3-286B-44DA-98E2-E06FA9DC17D9}" scale="90" showGridLines="0">
      <pane xSplit="1" ySplit="6" topLeftCell="B46" activePane="bottomRight" state="frozen"/>
      <selection pane="bottomRight" activeCell="A7" sqref="A7:D54"/>
      <colBreaks count="1" manualBreakCount="1">
        <brk id="10" max="1048575" man="1"/>
      </colBreaks>
      <pageMargins left="0" right="0" top="0" bottom="0" header="0" footer="0"/>
      <pageSetup paperSize="9" scale="80" firstPageNumber="7" orientation="portrait" useFirstPageNumber="1" r:id="rId1"/>
      <headerFooter alignWithMargins="0"/>
    </customSheetView>
    <customSheetView guid="{429188B7-F8E8-41E0-BAA6-8F869C883D4F}" scale="90" showGridLines="0">
      <pane xSplit="1" ySplit="6" topLeftCell="B52" activePane="bottomRight" state="frozen"/>
      <selection pane="bottomRight" activeCell="A2" sqref="A2"/>
      <pageMargins left="0" right="0" top="0" bottom="0" header="0" footer="0"/>
      <pageSetup paperSize="8" firstPageNumber="7" orientation="portrait" r:id="rId2"/>
      <headerFooter alignWithMargins="0">
        <oddHeader>&amp;L&amp;16 ２　職員数及び職員給料等</oddHeader>
      </headerFooter>
    </customSheetView>
  </customSheetViews>
  <mergeCells count="12">
    <mergeCell ref="B75:I75"/>
    <mergeCell ref="B73:I73"/>
    <mergeCell ref="D3:G3"/>
    <mergeCell ref="F4:F5"/>
    <mergeCell ref="C4:C5"/>
    <mergeCell ref="B72:I72"/>
    <mergeCell ref="K4:K5"/>
    <mergeCell ref="G4:G5"/>
    <mergeCell ref="D4:E4"/>
    <mergeCell ref="I3:I5"/>
    <mergeCell ref="B71:I71"/>
    <mergeCell ref="H3:H5"/>
  </mergeCells>
  <phoneticPr fontId="2"/>
  <dataValidations count="1">
    <dataValidation imeMode="disabled" allowBlank="1" showInputMessage="1" showErrorMessage="1" sqref="B7:K68" xr:uid="{00000000-0002-0000-0300-000000000000}"/>
  </dataValidations>
  <pageMargins left="0.74803149606299213" right="0.23622047244094491" top="0.98425196850393704" bottom="0.39370078740157483" header="0.59055118110236227" footer="0.31496062992125984"/>
  <pageSetup paperSize="9" scale="70" firstPageNumber="7" orientation="portrait" r:id="rId3"/>
  <headerFooter alignWithMargins="0">
    <oddHeader>&amp;L&amp;16 ２　職員数及び職員給料等</oddHeader>
  </headerFooter>
  <rowBreaks count="1" manualBreakCount="1">
    <brk id="77" max="10"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X141"/>
  <sheetViews>
    <sheetView showGridLines="0" view="pageBreakPreview" zoomScaleNormal="100" zoomScaleSheetLayoutView="100" workbookViewId="0">
      <pane xSplit="1" ySplit="6" topLeftCell="B7" activePane="bottomRight" state="frozen"/>
      <selection pane="topRight" activeCell="J20" sqref="J19:J20"/>
      <selection pane="bottomLeft" activeCell="J20" sqref="J19:J20"/>
      <selection pane="bottomRight" activeCell="BO13" sqref="BO13"/>
    </sheetView>
  </sheetViews>
  <sheetFormatPr defaultColWidth="8.88671875" defaultRowHeight="13.2"/>
  <cols>
    <col min="1" max="1" width="12.21875" style="731" customWidth="1"/>
    <col min="2" max="4" width="10" style="731" customWidth="1"/>
    <col min="5" max="5" width="1.77734375" style="731" customWidth="1"/>
    <col min="6" max="11" width="7.44140625" style="731" customWidth="1"/>
    <col min="12" max="12" width="9" style="731" customWidth="1"/>
    <col min="13" max="13" width="10.33203125" style="731" customWidth="1"/>
    <col min="14" max="15" width="9.77734375" style="731" customWidth="1"/>
    <col min="16" max="16" width="12.77734375" style="731" customWidth="1"/>
    <col min="17" max="18" width="9.6640625" style="731" customWidth="1"/>
    <col min="19" max="19" width="11.77734375" style="731" customWidth="1"/>
    <col min="20" max="25" width="9.44140625" style="731" customWidth="1"/>
    <col min="26" max="26" width="13.88671875" style="731" customWidth="1"/>
    <col min="27" max="27" width="2.33203125" style="731" customWidth="1"/>
    <col min="28" max="28" width="11" style="731" bestFit="1" customWidth="1"/>
    <col min="29" max="29" width="15.21875" style="731" bestFit="1" customWidth="1"/>
    <col min="30" max="30" width="19.77734375" style="731" bestFit="1" customWidth="1"/>
    <col min="31" max="32" width="13" style="731" bestFit="1" customWidth="1"/>
    <col min="33" max="33" width="2.44140625" style="731" customWidth="1"/>
    <col min="34" max="34" width="13.33203125" style="731" customWidth="1"/>
    <col min="35" max="35" width="10.77734375" style="731" customWidth="1"/>
    <col min="36" max="36" width="13" style="731" customWidth="1"/>
    <col min="37" max="37" width="9.44140625" style="731" customWidth="1"/>
    <col min="38" max="41" width="12.33203125" style="731" customWidth="1"/>
    <col min="42" max="42" width="2.33203125" style="731" customWidth="1"/>
    <col min="43" max="48" width="10" style="731" customWidth="1"/>
    <col min="49" max="50" width="10.44140625" style="731" customWidth="1"/>
    <col min="51" max="51" width="10" style="731" customWidth="1"/>
    <col min="52" max="55" width="11.21875" style="731" customWidth="1"/>
    <col min="56" max="56" width="10" style="731" customWidth="1"/>
    <col min="57" max="60" width="11.21875" style="731" customWidth="1"/>
    <col min="61" max="61" width="10" style="731" customWidth="1"/>
    <col min="62" max="64" width="11.21875" style="731" customWidth="1"/>
    <col min="65" max="67" width="10.21875" style="731" customWidth="1"/>
    <col min="68" max="68" width="10" style="731" customWidth="1"/>
    <col min="69" max="74" width="10.21875" style="731" customWidth="1"/>
    <col min="75" max="75" width="9.33203125" style="731" customWidth="1"/>
    <col min="76" max="77" width="10.6640625" style="731" customWidth="1"/>
    <col min="78" max="79" width="11.88671875" style="731" customWidth="1"/>
    <col min="80" max="80" width="12.33203125" style="731" customWidth="1"/>
    <col min="81" max="81" width="2" style="731" customWidth="1"/>
    <col min="82" max="83" width="10.6640625" style="731" customWidth="1"/>
    <col min="84" max="84" width="10.6640625" style="1154" customWidth="1"/>
    <col min="85" max="85" width="10.6640625" style="731" customWidth="1"/>
    <col min="86" max="86" width="10" style="1155" customWidth="1"/>
    <col min="87" max="88" width="10" style="731" customWidth="1"/>
    <col min="89" max="94" width="10.6640625" style="731" customWidth="1"/>
    <col min="95" max="95" width="1.6640625" style="731" customWidth="1"/>
    <col min="96" max="96" width="19.44140625" style="731" customWidth="1"/>
    <col min="97" max="97" width="12.6640625" style="731" bestFit="1" customWidth="1"/>
    <col min="98" max="98" width="19.44140625" style="731" customWidth="1"/>
    <col min="99" max="99" width="11.44140625" style="731" bestFit="1" customWidth="1"/>
    <col min="100" max="102" width="19.44140625" style="731" customWidth="1"/>
    <col min="103" max="16384" width="8.88671875" style="731"/>
  </cols>
  <sheetData>
    <row r="1" spans="1:102" ht="19.2">
      <c r="A1" s="1153" t="s">
        <v>281</v>
      </c>
      <c r="F1" s="593"/>
    </row>
    <row r="2" spans="1:102" ht="18.75" customHeight="1">
      <c r="A2" s="1156"/>
      <c r="B2" s="848" t="s">
        <v>282</v>
      </c>
      <c r="F2" s="1157" t="s">
        <v>283</v>
      </c>
      <c r="G2" s="1158"/>
      <c r="H2" s="1158"/>
      <c r="I2" s="1158"/>
      <c r="J2" s="1158"/>
      <c r="K2" s="1158"/>
      <c r="L2" s="1158"/>
      <c r="M2" s="1159"/>
      <c r="N2" s="848"/>
      <c r="O2" s="848"/>
      <c r="Q2" s="1160"/>
      <c r="R2" s="1160"/>
      <c r="AB2" s="848" t="s">
        <v>284</v>
      </c>
      <c r="AC2" s="1161"/>
      <c r="AH2" s="848" t="s">
        <v>285</v>
      </c>
      <c r="AQ2" s="848" t="s">
        <v>286</v>
      </c>
      <c r="AR2" s="848"/>
      <c r="AS2" s="848"/>
      <c r="AT2" s="848"/>
      <c r="AU2" s="848"/>
      <c r="AV2" s="848"/>
      <c r="AW2" s="848"/>
      <c r="AX2" s="848"/>
      <c r="AY2" s="848"/>
      <c r="AZ2" s="848"/>
      <c r="BA2" s="848"/>
      <c r="BB2" s="848"/>
      <c r="BC2" s="848"/>
      <c r="BD2" s="848"/>
      <c r="BE2" s="848"/>
      <c r="BF2" s="848"/>
      <c r="BG2" s="848"/>
      <c r="BH2" s="848"/>
      <c r="BI2" s="848"/>
      <c r="BJ2" s="848"/>
      <c r="BK2" s="848"/>
      <c r="BL2" s="848"/>
      <c r="BM2" s="848"/>
      <c r="BN2" s="848"/>
      <c r="BO2" s="848"/>
      <c r="BP2" s="848"/>
      <c r="BQ2" s="848"/>
      <c r="BR2" s="848"/>
      <c r="BS2" s="848"/>
      <c r="BT2" s="848"/>
      <c r="BU2" s="848"/>
      <c r="BV2" s="848"/>
      <c r="BW2" s="848"/>
      <c r="BX2" s="848"/>
      <c r="BY2" s="848"/>
      <c r="CD2" s="1162" t="s">
        <v>287</v>
      </c>
      <c r="CE2" s="1163"/>
      <c r="CF2" s="1163"/>
      <c r="CH2" s="731"/>
      <c r="CJ2" s="1162"/>
      <c r="CK2" s="1162"/>
      <c r="CL2" s="1163"/>
      <c r="CM2" s="1163"/>
      <c r="CN2" s="1163"/>
      <c r="CO2" s="1163"/>
      <c r="CP2" s="1163"/>
      <c r="CR2" s="848" t="s">
        <v>288</v>
      </c>
      <c r="CS2" s="848"/>
      <c r="CT2" s="848"/>
      <c r="CU2" s="848"/>
      <c r="CW2" s="848"/>
      <c r="CX2" s="848"/>
    </row>
    <row r="3" spans="1:102" ht="17.25" customHeight="1">
      <c r="A3" s="850" t="s">
        <v>90</v>
      </c>
      <c r="B3" s="1913" t="s">
        <v>289</v>
      </c>
      <c r="C3" s="1914"/>
      <c r="D3" s="1922" t="s">
        <v>290</v>
      </c>
      <c r="E3" s="1164"/>
      <c r="F3" s="1909" t="s">
        <v>291</v>
      </c>
      <c r="G3" s="1910"/>
      <c r="H3" s="1911" t="s">
        <v>292</v>
      </c>
      <c r="I3" s="1910"/>
      <c r="J3" s="1911" t="s">
        <v>293</v>
      </c>
      <c r="K3" s="1910"/>
      <c r="L3" s="1911" t="s">
        <v>294</v>
      </c>
      <c r="M3" s="1912"/>
      <c r="N3" s="1932" t="s">
        <v>295</v>
      </c>
      <c r="O3" s="1933"/>
      <c r="P3" s="1927" t="s">
        <v>296</v>
      </c>
      <c r="Q3" s="1920" t="s">
        <v>297</v>
      </c>
      <c r="R3" s="1914"/>
      <c r="S3" s="1815" t="s">
        <v>298</v>
      </c>
      <c r="T3" s="1920" t="s">
        <v>299</v>
      </c>
      <c r="U3" s="1914"/>
      <c r="V3" s="1920" t="s">
        <v>300</v>
      </c>
      <c r="W3" s="1914"/>
      <c r="X3" s="1925" t="s">
        <v>301</v>
      </c>
      <c r="Y3" s="1926"/>
      <c r="Z3" s="1949" t="s">
        <v>302</v>
      </c>
      <c r="AA3" s="1165"/>
      <c r="AB3" s="1946" t="s">
        <v>303</v>
      </c>
      <c r="AC3" s="1815" t="s">
        <v>304</v>
      </c>
      <c r="AD3" s="1873" t="s">
        <v>305</v>
      </c>
      <c r="AE3" s="1873" t="s">
        <v>306</v>
      </c>
      <c r="AF3" s="1922" t="s">
        <v>307</v>
      </c>
      <c r="AG3" s="1166"/>
      <c r="AH3" s="1167" t="s">
        <v>308</v>
      </c>
      <c r="AI3" s="995"/>
      <c r="AJ3" s="1168" t="s">
        <v>309</v>
      </c>
      <c r="AK3" s="486"/>
      <c r="AL3" s="1939" t="s">
        <v>310</v>
      </c>
      <c r="AM3" s="1815" t="s">
        <v>311</v>
      </c>
      <c r="AN3" s="1815" t="s">
        <v>312</v>
      </c>
      <c r="AO3" s="1922" t="s">
        <v>313</v>
      </c>
      <c r="AP3" s="1169"/>
      <c r="AQ3" s="1170" t="s">
        <v>314</v>
      </c>
      <c r="AR3" s="1171"/>
      <c r="AS3" s="1171"/>
      <c r="AT3" s="1171"/>
      <c r="AU3" s="1171"/>
      <c r="AV3" s="1172"/>
      <c r="AW3" s="1915" t="s">
        <v>315</v>
      </c>
      <c r="AX3" s="1916"/>
      <c r="AY3" s="1853" t="s">
        <v>316</v>
      </c>
      <c r="AZ3" s="1841"/>
      <c r="BA3" s="1841"/>
      <c r="BB3" s="1841"/>
      <c r="BC3" s="1854"/>
      <c r="BD3" s="1896" t="s">
        <v>317</v>
      </c>
      <c r="BE3" s="1841"/>
      <c r="BF3" s="1841"/>
      <c r="BG3" s="1841"/>
      <c r="BH3" s="1842"/>
      <c r="BI3" s="1853" t="s">
        <v>318</v>
      </c>
      <c r="BJ3" s="1897"/>
      <c r="BK3" s="1897"/>
      <c r="BL3" s="1897"/>
      <c r="BM3" s="1897"/>
      <c r="BN3" s="1897"/>
      <c r="BO3" s="1958"/>
      <c r="BP3" s="1896" t="s">
        <v>319</v>
      </c>
      <c r="BQ3" s="1841"/>
      <c r="BR3" s="1841"/>
      <c r="BS3" s="1841"/>
      <c r="BT3" s="1841"/>
      <c r="BU3" s="1841"/>
      <c r="BV3" s="1854"/>
      <c r="BW3" s="1896" t="s">
        <v>320</v>
      </c>
      <c r="BX3" s="1897"/>
      <c r="BY3" s="1842"/>
      <c r="BZ3" s="1815" t="s">
        <v>321</v>
      </c>
      <c r="CA3" s="1901" t="s">
        <v>322</v>
      </c>
      <c r="CB3" s="1901" t="s">
        <v>323</v>
      </c>
      <c r="CC3" s="1173"/>
      <c r="CD3" s="1167" t="s">
        <v>324</v>
      </c>
      <c r="CE3" s="486"/>
      <c r="CF3" s="1887" t="s">
        <v>325</v>
      </c>
      <c r="CG3" s="1888"/>
      <c r="CH3" s="1904" t="s">
        <v>326</v>
      </c>
      <c r="CI3" s="1849" t="s">
        <v>327</v>
      </c>
      <c r="CJ3" s="1844" t="s">
        <v>328</v>
      </c>
      <c r="CK3" s="1167" t="s">
        <v>329</v>
      </c>
      <c r="CL3" s="486"/>
      <c r="CM3" s="1174" t="s">
        <v>330</v>
      </c>
      <c r="CN3" s="1175"/>
      <c r="CO3" s="486" t="s">
        <v>331</v>
      </c>
      <c r="CP3" s="487"/>
      <c r="CQ3" s="1166"/>
      <c r="CR3" s="1889" t="s">
        <v>332</v>
      </c>
      <c r="CS3" s="1882" t="s">
        <v>333</v>
      </c>
      <c r="CT3" s="1889" t="s">
        <v>334</v>
      </c>
      <c r="CU3" s="1882" t="s">
        <v>335</v>
      </c>
      <c r="CV3" s="1889" t="s">
        <v>336</v>
      </c>
      <c r="CW3" s="1889" t="s">
        <v>337</v>
      </c>
      <c r="CX3" s="1889" t="s">
        <v>338</v>
      </c>
    </row>
    <row r="4" spans="1:102" ht="17.25" customHeight="1">
      <c r="A4" s="1131"/>
      <c r="B4" s="1176"/>
      <c r="C4" s="1907" t="s">
        <v>339</v>
      </c>
      <c r="D4" s="1923"/>
      <c r="E4" s="1164"/>
      <c r="F4" s="1177"/>
      <c r="G4" s="1907" t="s">
        <v>340</v>
      </c>
      <c r="H4" s="1176"/>
      <c r="I4" s="1907" t="s">
        <v>340</v>
      </c>
      <c r="J4" s="1176"/>
      <c r="K4" s="1907" t="s">
        <v>340</v>
      </c>
      <c r="L4" s="1529" t="s">
        <v>341</v>
      </c>
      <c r="M4" s="1934" t="s">
        <v>340</v>
      </c>
      <c r="N4" s="1530"/>
      <c r="O4" s="1930" t="s">
        <v>340</v>
      </c>
      <c r="P4" s="1928"/>
      <c r="Q4" s="1531"/>
      <c r="R4" s="1907" t="s">
        <v>342</v>
      </c>
      <c r="S4" s="1898"/>
      <c r="T4" s="1531"/>
      <c r="U4" s="1907" t="s">
        <v>342</v>
      </c>
      <c r="V4" s="1531"/>
      <c r="W4" s="1907" t="s">
        <v>342</v>
      </c>
      <c r="X4" s="1532"/>
      <c r="Y4" s="1952" t="s">
        <v>342</v>
      </c>
      <c r="Z4" s="1950"/>
      <c r="AA4" s="1178"/>
      <c r="AB4" s="1947"/>
      <c r="AC4" s="1898"/>
      <c r="AD4" s="1921"/>
      <c r="AE4" s="1921"/>
      <c r="AF4" s="1923"/>
      <c r="AG4" s="1179"/>
      <c r="AH4" s="1132"/>
      <c r="AI4" s="1942" t="s">
        <v>343</v>
      </c>
      <c r="AJ4" s="1180"/>
      <c r="AK4" s="1942" t="s">
        <v>344</v>
      </c>
      <c r="AL4" s="1940"/>
      <c r="AM4" s="1834"/>
      <c r="AN4" s="1834"/>
      <c r="AO4" s="1948"/>
      <c r="AP4" s="1169"/>
      <c r="AQ4" s="1181" t="s">
        <v>345</v>
      </c>
      <c r="AR4" s="1182"/>
      <c r="AS4" s="1183" t="s">
        <v>346</v>
      </c>
      <c r="AT4" s="1182"/>
      <c r="AU4" s="1183" t="s">
        <v>347</v>
      </c>
      <c r="AV4" s="1182"/>
      <c r="AW4" s="1917"/>
      <c r="AX4" s="1918"/>
      <c r="AY4" s="1533"/>
      <c r="AZ4" s="1881" t="s">
        <v>348</v>
      </c>
      <c r="BA4" s="1881"/>
      <c r="BB4" s="1881" t="s">
        <v>349</v>
      </c>
      <c r="BC4" s="1886"/>
      <c r="BD4" s="1185"/>
      <c r="BE4" s="1881" t="s">
        <v>348</v>
      </c>
      <c r="BF4" s="1881"/>
      <c r="BG4" s="1881" t="s">
        <v>349</v>
      </c>
      <c r="BH4" s="1881"/>
      <c r="BI4" s="1533"/>
      <c r="BJ4" s="1881" t="s">
        <v>348</v>
      </c>
      <c r="BK4" s="1881"/>
      <c r="BL4" s="1885"/>
      <c r="BM4" s="1881" t="s">
        <v>349</v>
      </c>
      <c r="BN4" s="1885"/>
      <c r="BO4" s="1886"/>
      <c r="BP4" s="1185"/>
      <c r="BQ4" s="1881" t="s">
        <v>348</v>
      </c>
      <c r="BR4" s="1881"/>
      <c r="BS4" s="1881"/>
      <c r="BT4" s="1881" t="s">
        <v>349</v>
      </c>
      <c r="BU4" s="1885"/>
      <c r="BV4" s="1886"/>
      <c r="BW4" s="1185"/>
      <c r="BX4" s="1184" t="s">
        <v>350</v>
      </c>
      <c r="BY4" s="1184" t="s">
        <v>349</v>
      </c>
      <c r="BZ4" s="1898"/>
      <c r="CA4" s="1902"/>
      <c r="CB4" s="1902"/>
      <c r="CC4" s="1186"/>
      <c r="CD4" s="1132"/>
      <c r="CE4" s="1954" t="s">
        <v>351</v>
      </c>
      <c r="CF4" s="1534"/>
      <c r="CG4" s="1954" t="s">
        <v>351</v>
      </c>
      <c r="CH4" s="1905"/>
      <c r="CI4" s="1898"/>
      <c r="CJ4" s="1923"/>
      <c r="CK4" s="1944" t="s">
        <v>352</v>
      </c>
      <c r="CL4" s="1900" t="s">
        <v>353</v>
      </c>
      <c r="CM4" s="1892" t="s">
        <v>352</v>
      </c>
      <c r="CN4" s="1900" t="s">
        <v>353</v>
      </c>
      <c r="CO4" s="1892" t="s">
        <v>352</v>
      </c>
      <c r="CP4" s="1894" t="s">
        <v>353</v>
      </c>
      <c r="CQ4" s="1188"/>
      <c r="CR4" s="1890"/>
      <c r="CS4" s="1883"/>
      <c r="CT4" s="1890"/>
      <c r="CU4" s="1883"/>
      <c r="CV4" s="1890"/>
      <c r="CW4" s="1890"/>
      <c r="CX4" s="1890"/>
    </row>
    <row r="5" spans="1:102" ht="17.25" customHeight="1">
      <c r="A5" s="1131"/>
      <c r="B5" s="1176"/>
      <c r="C5" s="1908"/>
      <c r="D5" s="1924"/>
      <c r="E5" s="1164"/>
      <c r="F5" s="1177"/>
      <c r="G5" s="1908"/>
      <c r="H5" s="1176"/>
      <c r="I5" s="1908"/>
      <c r="J5" s="1176"/>
      <c r="K5" s="1908"/>
      <c r="L5" s="1531"/>
      <c r="M5" s="1935"/>
      <c r="N5" s="1189"/>
      <c r="O5" s="1931"/>
      <c r="P5" s="1929"/>
      <c r="Q5" s="1531"/>
      <c r="R5" s="1908"/>
      <c r="S5" s="1899"/>
      <c r="T5" s="1531"/>
      <c r="U5" s="1908"/>
      <c r="V5" s="1531"/>
      <c r="W5" s="1908"/>
      <c r="X5" s="1532"/>
      <c r="Y5" s="1953"/>
      <c r="Z5" s="1951"/>
      <c r="AA5" s="1178"/>
      <c r="AB5" s="1828"/>
      <c r="AC5" s="1899"/>
      <c r="AD5" s="1908"/>
      <c r="AE5" s="1908"/>
      <c r="AF5" s="1924"/>
      <c r="AG5" s="1179"/>
      <c r="AH5" s="1132"/>
      <c r="AI5" s="1943"/>
      <c r="AJ5" s="1180"/>
      <c r="AK5" s="1943"/>
      <c r="AL5" s="1941"/>
      <c r="AM5" s="1835"/>
      <c r="AN5" s="1835"/>
      <c r="AO5" s="1895"/>
      <c r="AP5" s="1169"/>
      <c r="AQ5" s="1190"/>
      <c r="AR5" s="1191" t="s">
        <v>354</v>
      </c>
      <c r="AS5" s="1192"/>
      <c r="AT5" s="1191" t="s">
        <v>354</v>
      </c>
      <c r="AU5" s="1192"/>
      <c r="AV5" s="1191" t="s">
        <v>354</v>
      </c>
      <c r="AW5" s="1192"/>
      <c r="AX5" s="1191" t="s">
        <v>354</v>
      </c>
      <c r="AY5" s="1535" t="s">
        <v>355</v>
      </c>
      <c r="AZ5" s="940" t="s">
        <v>346</v>
      </c>
      <c r="BA5" s="940" t="s">
        <v>347</v>
      </c>
      <c r="BB5" s="940" t="s">
        <v>346</v>
      </c>
      <c r="BC5" s="1193" t="s">
        <v>347</v>
      </c>
      <c r="BD5" s="999" t="s">
        <v>355</v>
      </c>
      <c r="BE5" s="940" t="s">
        <v>346</v>
      </c>
      <c r="BF5" s="940" t="s">
        <v>347</v>
      </c>
      <c r="BG5" s="940" t="s">
        <v>346</v>
      </c>
      <c r="BH5" s="940" t="s">
        <v>347</v>
      </c>
      <c r="BI5" s="1535" t="s">
        <v>355</v>
      </c>
      <c r="BJ5" s="940" t="s">
        <v>345</v>
      </c>
      <c r="BK5" s="940" t="s">
        <v>346</v>
      </c>
      <c r="BL5" s="939" t="s">
        <v>347</v>
      </c>
      <c r="BM5" s="940" t="s">
        <v>345</v>
      </c>
      <c r="BN5" s="940" t="s">
        <v>346</v>
      </c>
      <c r="BO5" s="1193" t="s">
        <v>347</v>
      </c>
      <c r="BP5" s="999" t="s">
        <v>355</v>
      </c>
      <c r="BQ5" s="940" t="s">
        <v>345</v>
      </c>
      <c r="BR5" s="940" t="s">
        <v>346</v>
      </c>
      <c r="BS5" s="940" t="s">
        <v>347</v>
      </c>
      <c r="BT5" s="940" t="s">
        <v>345</v>
      </c>
      <c r="BU5" s="940" t="s">
        <v>346</v>
      </c>
      <c r="BV5" s="1193" t="s">
        <v>347</v>
      </c>
      <c r="BW5" s="999" t="s">
        <v>355</v>
      </c>
      <c r="BX5" s="1184" t="s">
        <v>347</v>
      </c>
      <c r="BY5" s="940" t="s">
        <v>347</v>
      </c>
      <c r="BZ5" s="1899"/>
      <c r="CA5" s="1903"/>
      <c r="CB5" s="1903"/>
      <c r="CC5" s="1186"/>
      <c r="CD5" s="1132"/>
      <c r="CE5" s="1908"/>
      <c r="CF5" s="1534"/>
      <c r="CG5" s="1908"/>
      <c r="CH5" s="1906"/>
      <c r="CI5" s="1899"/>
      <c r="CJ5" s="1924"/>
      <c r="CK5" s="1945"/>
      <c r="CL5" s="1835"/>
      <c r="CM5" s="1893"/>
      <c r="CN5" s="1835"/>
      <c r="CO5" s="1893"/>
      <c r="CP5" s="1895"/>
      <c r="CQ5" s="1188"/>
      <c r="CR5" s="1891"/>
      <c r="CS5" s="1884"/>
      <c r="CT5" s="1891"/>
      <c r="CU5" s="1884"/>
      <c r="CV5" s="1891"/>
      <c r="CW5" s="1891"/>
      <c r="CX5" s="1891"/>
    </row>
    <row r="6" spans="1:102" ht="17.25" customHeight="1">
      <c r="A6" s="853" t="s">
        <v>134</v>
      </c>
      <c r="B6" s="1194" t="s">
        <v>135</v>
      </c>
      <c r="C6" s="1195" t="s">
        <v>356</v>
      </c>
      <c r="D6" s="1196" t="s">
        <v>138</v>
      </c>
      <c r="E6" s="1197"/>
      <c r="F6" s="1194" t="s">
        <v>146</v>
      </c>
      <c r="G6" s="1195" t="s">
        <v>135</v>
      </c>
      <c r="H6" s="1195" t="s">
        <v>146</v>
      </c>
      <c r="I6" s="1195" t="s">
        <v>135</v>
      </c>
      <c r="J6" s="1195" t="s">
        <v>146</v>
      </c>
      <c r="K6" s="1195" t="s">
        <v>135</v>
      </c>
      <c r="L6" s="1195" t="s">
        <v>146</v>
      </c>
      <c r="M6" s="1198" t="s">
        <v>135</v>
      </c>
      <c r="N6" s="1198" t="s">
        <v>146</v>
      </c>
      <c r="O6" s="1199" t="s">
        <v>357</v>
      </c>
      <c r="P6" s="1200" t="s">
        <v>146</v>
      </c>
      <c r="Q6" s="1195" t="s">
        <v>146</v>
      </c>
      <c r="R6" s="1195" t="s">
        <v>135</v>
      </c>
      <c r="S6" s="1195" t="s">
        <v>146</v>
      </c>
      <c r="T6" s="1195" t="s">
        <v>146</v>
      </c>
      <c r="U6" s="1198" t="s">
        <v>135</v>
      </c>
      <c r="V6" s="1195" t="s">
        <v>146</v>
      </c>
      <c r="W6" s="1198" t="s">
        <v>135</v>
      </c>
      <c r="X6" s="1201" t="s">
        <v>146</v>
      </c>
      <c r="Y6" s="1202" t="s">
        <v>135</v>
      </c>
      <c r="Z6" s="1196" t="s">
        <v>146</v>
      </c>
      <c r="AA6" s="778"/>
      <c r="AB6" s="1194" t="s">
        <v>357</v>
      </c>
      <c r="AC6" s="1195" t="s">
        <v>357</v>
      </c>
      <c r="AD6" s="1195" t="s">
        <v>266</v>
      </c>
      <c r="AE6" s="1195" t="s">
        <v>137</v>
      </c>
      <c r="AF6" s="1196" t="s">
        <v>146</v>
      </c>
      <c r="AG6" s="1203"/>
      <c r="AH6" s="857" t="s">
        <v>135</v>
      </c>
      <c r="AI6" s="493" t="s">
        <v>137</v>
      </c>
      <c r="AJ6" s="493" t="s">
        <v>138</v>
      </c>
      <c r="AK6" s="493" t="s">
        <v>137</v>
      </c>
      <c r="AL6" s="493" t="s">
        <v>266</v>
      </c>
      <c r="AM6" s="493" t="s">
        <v>137</v>
      </c>
      <c r="AN6" s="493" t="s">
        <v>137</v>
      </c>
      <c r="AO6" s="855" t="s">
        <v>137</v>
      </c>
      <c r="AP6" s="1204"/>
      <c r="AQ6" s="857" t="s">
        <v>357</v>
      </c>
      <c r="AR6" s="493" t="s">
        <v>137</v>
      </c>
      <c r="AS6" s="1015" t="s">
        <v>357</v>
      </c>
      <c r="AT6" s="493" t="s">
        <v>137</v>
      </c>
      <c r="AU6" s="493" t="s">
        <v>357</v>
      </c>
      <c r="AV6" s="493" t="s">
        <v>137</v>
      </c>
      <c r="AW6" s="1015" t="s">
        <v>357</v>
      </c>
      <c r="AX6" s="493" t="s">
        <v>137</v>
      </c>
      <c r="AY6" s="493" t="s">
        <v>146</v>
      </c>
      <c r="AZ6" s="1015" t="s">
        <v>357</v>
      </c>
      <c r="BA6" s="1015" t="s">
        <v>357</v>
      </c>
      <c r="BB6" s="1015" t="s">
        <v>357</v>
      </c>
      <c r="BC6" s="855" t="s">
        <v>357</v>
      </c>
      <c r="BD6" s="857" t="s">
        <v>146</v>
      </c>
      <c r="BE6" s="1015" t="s">
        <v>357</v>
      </c>
      <c r="BF6" s="1015" t="s">
        <v>357</v>
      </c>
      <c r="BG6" s="1015" t="s">
        <v>357</v>
      </c>
      <c r="BH6" s="493" t="s">
        <v>357</v>
      </c>
      <c r="BI6" s="493" t="s">
        <v>146</v>
      </c>
      <c r="BJ6" s="1015" t="s">
        <v>357</v>
      </c>
      <c r="BK6" s="1015" t="s">
        <v>357</v>
      </c>
      <c r="BL6" s="1015" t="s">
        <v>357</v>
      </c>
      <c r="BM6" s="1015" t="s">
        <v>357</v>
      </c>
      <c r="BN6" s="1015" t="s">
        <v>357</v>
      </c>
      <c r="BO6" s="855" t="s">
        <v>357</v>
      </c>
      <c r="BP6" s="857" t="s">
        <v>146</v>
      </c>
      <c r="BQ6" s="1015" t="s">
        <v>357</v>
      </c>
      <c r="BR6" s="1015" t="s">
        <v>357</v>
      </c>
      <c r="BS6" s="1015" t="s">
        <v>357</v>
      </c>
      <c r="BT6" s="1015" t="s">
        <v>357</v>
      </c>
      <c r="BU6" s="1015" t="s">
        <v>357</v>
      </c>
      <c r="BV6" s="855" t="s">
        <v>357</v>
      </c>
      <c r="BW6" s="857" t="s">
        <v>146</v>
      </c>
      <c r="BX6" s="1205" t="s">
        <v>357</v>
      </c>
      <c r="BY6" s="493" t="s">
        <v>357</v>
      </c>
      <c r="BZ6" s="493" t="s">
        <v>357</v>
      </c>
      <c r="CA6" s="494" t="s">
        <v>146</v>
      </c>
      <c r="CB6" s="494" t="s">
        <v>146</v>
      </c>
      <c r="CC6" s="1206"/>
      <c r="CD6" s="857" t="s">
        <v>146</v>
      </c>
      <c r="CE6" s="493" t="s">
        <v>146</v>
      </c>
      <c r="CF6" s="1207" t="s">
        <v>358</v>
      </c>
      <c r="CG6" s="493" t="s">
        <v>358</v>
      </c>
      <c r="CH6" s="1208" t="s">
        <v>358</v>
      </c>
      <c r="CI6" s="493" t="s">
        <v>146</v>
      </c>
      <c r="CJ6" s="855" t="s">
        <v>146</v>
      </c>
      <c r="CK6" s="857" t="s">
        <v>357</v>
      </c>
      <c r="CL6" s="493" t="s">
        <v>135</v>
      </c>
      <c r="CM6" s="493" t="s">
        <v>357</v>
      </c>
      <c r="CN6" s="493" t="s">
        <v>135</v>
      </c>
      <c r="CO6" s="854" t="s">
        <v>357</v>
      </c>
      <c r="CP6" s="855" t="s">
        <v>135</v>
      </c>
      <c r="CQ6" s="1203"/>
      <c r="CR6" s="488" t="s">
        <v>146</v>
      </c>
      <c r="CS6" s="488" t="s">
        <v>357</v>
      </c>
      <c r="CT6" s="488" t="s">
        <v>146</v>
      </c>
      <c r="CU6" s="488" t="s">
        <v>357</v>
      </c>
      <c r="CV6" s="488" t="s">
        <v>357</v>
      </c>
      <c r="CW6" s="488" t="s">
        <v>357</v>
      </c>
      <c r="CX6" s="488" t="s">
        <v>357</v>
      </c>
    </row>
    <row r="7" spans="1:102" ht="15.75" customHeight="1">
      <c r="A7" s="858" t="s">
        <v>147</v>
      </c>
      <c r="B7" s="586">
        <v>11097</v>
      </c>
      <c r="C7" s="658">
        <v>45.8</v>
      </c>
      <c r="D7" s="1416">
        <v>9242</v>
      </c>
      <c r="E7" s="538"/>
      <c r="F7" s="576">
        <v>2</v>
      </c>
      <c r="G7" s="1536">
        <v>270</v>
      </c>
      <c r="H7" s="1536">
        <v>17</v>
      </c>
      <c r="I7" s="1536">
        <v>1341</v>
      </c>
      <c r="J7" s="1536">
        <v>5</v>
      </c>
      <c r="K7" s="1536">
        <v>136</v>
      </c>
      <c r="L7" s="1537" t="s">
        <v>153</v>
      </c>
      <c r="M7" s="1378" t="s">
        <v>153</v>
      </c>
      <c r="N7" s="813">
        <v>112</v>
      </c>
      <c r="O7" s="1442">
        <v>4093</v>
      </c>
      <c r="P7" s="1209">
        <v>1017</v>
      </c>
      <c r="Q7" s="1210">
        <v>5</v>
      </c>
      <c r="R7" s="1538">
        <v>205</v>
      </c>
      <c r="S7" s="1536">
        <v>3</v>
      </c>
      <c r="T7" s="1536">
        <v>8</v>
      </c>
      <c r="U7" s="1538">
        <v>896</v>
      </c>
      <c r="V7" s="1536">
        <v>4</v>
      </c>
      <c r="W7" s="1538">
        <v>360</v>
      </c>
      <c r="X7" s="1537" t="s">
        <v>153</v>
      </c>
      <c r="Y7" s="1539" t="s">
        <v>153</v>
      </c>
      <c r="Z7" s="1442" t="s">
        <v>153</v>
      </c>
      <c r="AA7" s="542"/>
      <c r="AB7" s="576">
        <v>89110</v>
      </c>
      <c r="AC7" s="1536">
        <v>19932</v>
      </c>
      <c r="AD7" s="1536">
        <v>28001151679</v>
      </c>
      <c r="AE7" s="1540">
        <v>99.1</v>
      </c>
      <c r="AF7" s="1442">
        <v>10</v>
      </c>
      <c r="AG7" s="544"/>
      <c r="AH7" s="586">
        <v>48722</v>
      </c>
      <c r="AI7" s="1415">
        <v>20.100000000000001</v>
      </c>
      <c r="AJ7" s="1416">
        <v>34902</v>
      </c>
      <c r="AK7" s="1415">
        <v>25</v>
      </c>
      <c r="AL7" s="1416">
        <v>463275</v>
      </c>
      <c r="AM7" s="1418">
        <v>95.4</v>
      </c>
      <c r="AN7" s="1025">
        <v>32.700000000000003</v>
      </c>
      <c r="AO7" s="1211">
        <v>33.4</v>
      </c>
      <c r="AP7" s="546"/>
      <c r="AQ7" s="586">
        <v>2000</v>
      </c>
      <c r="AR7" s="1212">
        <v>51.15</v>
      </c>
      <c r="AS7" s="1541">
        <v>1719</v>
      </c>
      <c r="AT7" s="1541">
        <v>43.96</v>
      </c>
      <c r="AU7" s="1213">
        <v>1345</v>
      </c>
      <c r="AV7" s="1416">
        <v>40.67</v>
      </c>
      <c r="AW7" s="1541">
        <v>888</v>
      </c>
      <c r="AX7" s="1541">
        <v>22.71</v>
      </c>
      <c r="AY7" s="1213" t="s">
        <v>148</v>
      </c>
      <c r="AZ7" s="1541" t="s">
        <v>148</v>
      </c>
      <c r="BA7" s="1541" t="s">
        <v>148</v>
      </c>
      <c r="BB7" s="1541" t="s">
        <v>148</v>
      </c>
      <c r="BC7" s="1542" t="s">
        <v>148</v>
      </c>
      <c r="BD7" s="586">
        <v>5</v>
      </c>
      <c r="BE7" s="1541">
        <v>176</v>
      </c>
      <c r="BF7" s="1541">
        <v>134</v>
      </c>
      <c r="BG7" s="1541">
        <v>164</v>
      </c>
      <c r="BH7" s="1213">
        <v>104</v>
      </c>
      <c r="BI7" s="649">
        <v>1</v>
      </c>
      <c r="BJ7" s="1541">
        <v>15</v>
      </c>
      <c r="BK7" s="1541">
        <v>30</v>
      </c>
      <c r="BL7" s="1541">
        <v>15</v>
      </c>
      <c r="BM7" s="1541">
        <v>4</v>
      </c>
      <c r="BN7" s="1541">
        <v>13</v>
      </c>
      <c r="BO7" s="1214">
        <v>7</v>
      </c>
      <c r="BP7" s="586">
        <v>54</v>
      </c>
      <c r="BQ7" s="1541">
        <v>2452</v>
      </c>
      <c r="BR7" s="1541">
        <v>1769</v>
      </c>
      <c r="BS7" s="1541">
        <v>1547</v>
      </c>
      <c r="BT7" s="1541">
        <v>1661</v>
      </c>
      <c r="BU7" s="1541">
        <v>1540</v>
      </c>
      <c r="BV7" s="1542">
        <v>1233</v>
      </c>
      <c r="BW7" s="586" t="s">
        <v>148</v>
      </c>
      <c r="BX7" s="1215" t="s">
        <v>148</v>
      </c>
      <c r="BY7" s="1541" t="s">
        <v>148</v>
      </c>
      <c r="BZ7" s="1416">
        <v>0</v>
      </c>
      <c r="CA7" s="1031">
        <v>24</v>
      </c>
      <c r="CB7" s="1031">
        <v>13</v>
      </c>
      <c r="CC7" s="550"/>
      <c r="CD7" s="1022">
        <v>27</v>
      </c>
      <c r="CE7" s="1213">
        <v>3</v>
      </c>
      <c r="CF7" s="1543">
        <v>6166</v>
      </c>
      <c r="CG7" s="1213">
        <v>767</v>
      </c>
      <c r="CH7" s="1216">
        <v>2545.1</v>
      </c>
      <c r="CI7" s="1213">
        <v>204</v>
      </c>
      <c r="CJ7" s="1214">
        <v>122</v>
      </c>
      <c r="CK7" s="586">
        <v>822</v>
      </c>
      <c r="CL7" s="1415">
        <v>327.39999999999998</v>
      </c>
      <c r="CM7" s="1416">
        <v>182</v>
      </c>
      <c r="CN7" s="1415">
        <v>72.5</v>
      </c>
      <c r="CO7" s="649">
        <v>683</v>
      </c>
      <c r="CP7" s="1443">
        <v>272</v>
      </c>
      <c r="CQ7" s="544"/>
      <c r="CR7" s="1217">
        <v>248</v>
      </c>
      <c r="CS7" s="1217">
        <v>2966</v>
      </c>
      <c r="CT7" s="1217">
        <v>85</v>
      </c>
      <c r="CU7" s="1217">
        <v>1116</v>
      </c>
      <c r="CV7" s="1217">
        <v>11581</v>
      </c>
      <c r="CW7" s="1217">
        <v>3173</v>
      </c>
      <c r="CX7" s="1217">
        <v>3180</v>
      </c>
    </row>
    <row r="8" spans="1:102" ht="15.75" customHeight="1">
      <c r="A8" s="860" t="s">
        <v>149</v>
      </c>
      <c r="B8" s="1032">
        <v>11547</v>
      </c>
      <c r="C8" s="1038">
        <v>35.799999999999997</v>
      </c>
      <c r="D8" s="1421">
        <v>9664</v>
      </c>
      <c r="E8" s="1218"/>
      <c r="F8" s="604">
        <v>3</v>
      </c>
      <c r="G8" s="1544">
        <v>270</v>
      </c>
      <c r="H8" s="1544">
        <v>21</v>
      </c>
      <c r="I8" s="1544">
        <v>1400</v>
      </c>
      <c r="J8" s="1544">
        <v>4</v>
      </c>
      <c r="K8" s="1544">
        <v>98</v>
      </c>
      <c r="L8" s="1544">
        <v>2</v>
      </c>
      <c r="M8" s="1544">
        <v>100</v>
      </c>
      <c r="N8" s="1545">
        <v>292</v>
      </c>
      <c r="O8" s="1546">
        <v>7200</v>
      </c>
      <c r="P8" s="599">
        <v>1393</v>
      </c>
      <c r="Q8" s="1544">
        <v>7</v>
      </c>
      <c r="R8" s="1545">
        <v>375</v>
      </c>
      <c r="S8" s="1544">
        <v>2</v>
      </c>
      <c r="T8" s="1544">
        <v>11</v>
      </c>
      <c r="U8" s="1545">
        <v>922</v>
      </c>
      <c r="V8" s="1544">
        <v>4</v>
      </c>
      <c r="W8" s="1545">
        <v>195</v>
      </c>
      <c r="X8" s="1544">
        <v>2</v>
      </c>
      <c r="Y8" s="1545">
        <v>59</v>
      </c>
      <c r="Z8" s="1546" t="s">
        <v>148</v>
      </c>
      <c r="AA8" s="1219"/>
      <c r="AB8" s="604">
        <v>112248</v>
      </c>
      <c r="AC8" s="1544">
        <v>24630</v>
      </c>
      <c r="AD8" s="1544">
        <v>31825199847</v>
      </c>
      <c r="AE8" s="1547">
        <v>98.23</v>
      </c>
      <c r="AF8" s="1546">
        <v>11</v>
      </c>
      <c r="AG8" s="873"/>
      <c r="AH8" s="1032">
        <v>61209</v>
      </c>
      <c r="AI8" s="1420">
        <v>19</v>
      </c>
      <c r="AJ8" s="1421">
        <v>43274</v>
      </c>
      <c r="AK8" s="1420">
        <v>24.4</v>
      </c>
      <c r="AL8" s="1421">
        <v>467771</v>
      </c>
      <c r="AM8" s="1423">
        <v>95.3</v>
      </c>
      <c r="AN8" s="1420">
        <v>29.8</v>
      </c>
      <c r="AO8" s="1220">
        <v>42</v>
      </c>
      <c r="AP8" s="1221"/>
      <c r="AQ8" s="1032">
        <v>1795</v>
      </c>
      <c r="AR8" s="1382">
        <f>AQ8/6120*100</f>
        <v>29.330065359477125</v>
      </c>
      <c r="AS8" s="1548">
        <v>3567</v>
      </c>
      <c r="AT8" s="1549">
        <f>AS8/6120*100</f>
        <v>58.2843137254902</v>
      </c>
      <c r="AU8" s="1548">
        <v>2515</v>
      </c>
      <c r="AV8" s="1550">
        <f>AU8/5180*100</f>
        <v>48.552123552123547</v>
      </c>
      <c r="AW8" s="1548">
        <v>949</v>
      </c>
      <c r="AX8" s="1549">
        <f>AW8/6120*100</f>
        <v>15.506535947712418</v>
      </c>
      <c r="AY8" s="1421">
        <v>3</v>
      </c>
      <c r="AZ8" s="1548">
        <v>166</v>
      </c>
      <c r="BA8" s="1548">
        <v>86</v>
      </c>
      <c r="BB8" s="1548">
        <v>131</v>
      </c>
      <c r="BC8" s="1551">
        <v>63</v>
      </c>
      <c r="BD8" s="1032">
        <v>30</v>
      </c>
      <c r="BE8" s="1548">
        <v>1208</v>
      </c>
      <c r="BF8" s="1548">
        <v>972</v>
      </c>
      <c r="BG8" s="1548">
        <v>1256</v>
      </c>
      <c r="BH8" s="1421">
        <v>810</v>
      </c>
      <c r="BI8" s="1078" t="s">
        <v>153</v>
      </c>
      <c r="BJ8" s="1392" t="s">
        <v>153</v>
      </c>
      <c r="BK8" s="1392" t="s">
        <v>153</v>
      </c>
      <c r="BL8" s="1392" t="s">
        <v>153</v>
      </c>
      <c r="BM8" s="1392" t="s">
        <v>153</v>
      </c>
      <c r="BN8" s="1392" t="s">
        <v>153</v>
      </c>
      <c r="BO8" s="1507" t="s">
        <v>153</v>
      </c>
      <c r="BP8" s="1032">
        <v>41</v>
      </c>
      <c r="BQ8" s="1548">
        <v>642</v>
      </c>
      <c r="BR8" s="1548">
        <v>2085</v>
      </c>
      <c r="BS8" s="1548">
        <v>1560</v>
      </c>
      <c r="BT8" s="1548">
        <v>464</v>
      </c>
      <c r="BU8" s="1548">
        <v>2180</v>
      </c>
      <c r="BV8" s="1551">
        <v>1383</v>
      </c>
      <c r="BW8" s="1032">
        <v>19</v>
      </c>
      <c r="BX8" s="1222">
        <v>286</v>
      </c>
      <c r="BY8" s="1548">
        <v>213</v>
      </c>
      <c r="BZ8" s="1421">
        <v>0</v>
      </c>
      <c r="CA8" s="1223">
        <v>6</v>
      </c>
      <c r="CB8" s="1223">
        <v>10</v>
      </c>
      <c r="CC8" s="1224"/>
      <c r="CD8" s="1032">
        <v>36</v>
      </c>
      <c r="CE8" s="1421">
        <v>1</v>
      </c>
      <c r="CF8" s="1552">
        <v>6886</v>
      </c>
      <c r="CG8" s="1421">
        <v>481</v>
      </c>
      <c r="CH8" s="1225">
        <v>2135</v>
      </c>
      <c r="CI8" s="1421">
        <v>227</v>
      </c>
      <c r="CJ8" s="1551">
        <v>172</v>
      </c>
      <c r="CK8" s="1032">
        <v>1364</v>
      </c>
      <c r="CL8" s="1420">
        <v>414.2</v>
      </c>
      <c r="CM8" s="1421">
        <v>246</v>
      </c>
      <c r="CN8" s="1420">
        <v>74.7</v>
      </c>
      <c r="CO8" s="1033">
        <v>876</v>
      </c>
      <c r="CP8" s="1426">
        <v>266</v>
      </c>
      <c r="CQ8" s="873"/>
      <c r="CR8" s="1226">
        <v>466</v>
      </c>
      <c r="CS8" s="1226">
        <v>4401</v>
      </c>
      <c r="CT8" s="1226">
        <v>164</v>
      </c>
      <c r="CU8" s="1226">
        <v>1907</v>
      </c>
      <c r="CV8" s="1226">
        <v>16352</v>
      </c>
      <c r="CW8" s="1226">
        <v>4727</v>
      </c>
      <c r="CX8" s="1226">
        <v>3644</v>
      </c>
    </row>
    <row r="9" spans="1:102" ht="15.75" customHeight="1">
      <c r="A9" s="858" t="s">
        <v>150</v>
      </c>
      <c r="B9" s="553">
        <v>7958</v>
      </c>
      <c r="C9" s="521">
        <v>29.99</v>
      </c>
      <c r="D9" s="1430">
        <v>6603</v>
      </c>
      <c r="E9" s="538"/>
      <c r="F9" s="554">
        <v>2</v>
      </c>
      <c r="G9" s="1537">
        <v>155</v>
      </c>
      <c r="H9" s="1537">
        <v>14</v>
      </c>
      <c r="I9" s="1537">
        <v>844</v>
      </c>
      <c r="J9" s="1537">
        <v>6</v>
      </c>
      <c r="K9" s="1537">
        <v>159</v>
      </c>
      <c r="L9" s="1537">
        <v>1</v>
      </c>
      <c r="M9" s="1537">
        <v>60</v>
      </c>
      <c r="N9" s="1539">
        <v>129</v>
      </c>
      <c r="O9" s="1431">
        <v>4269</v>
      </c>
      <c r="P9" s="556">
        <v>933</v>
      </c>
      <c r="Q9" s="1537">
        <v>6</v>
      </c>
      <c r="R9" s="1539">
        <v>154</v>
      </c>
      <c r="S9" s="1537">
        <v>2</v>
      </c>
      <c r="T9" s="1537">
        <v>12</v>
      </c>
      <c r="U9" s="1539">
        <v>1018</v>
      </c>
      <c r="V9" s="1537">
        <v>3</v>
      </c>
      <c r="W9" s="1539">
        <v>97</v>
      </c>
      <c r="X9" s="1537">
        <v>1</v>
      </c>
      <c r="Y9" s="1539">
        <v>9</v>
      </c>
      <c r="Z9" s="1431" t="s">
        <v>153</v>
      </c>
      <c r="AA9" s="542"/>
      <c r="AB9" s="554">
        <v>87667</v>
      </c>
      <c r="AC9" s="1537">
        <v>17535</v>
      </c>
      <c r="AD9" s="1537">
        <v>28586274556</v>
      </c>
      <c r="AE9" s="1408">
        <v>98.2</v>
      </c>
      <c r="AF9" s="1431">
        <v>11</v>
      </c>
      <c r="AG9" s="544"/>
      <c r="AH9" s="553">
        <v>53677</v>
      </c>
      <c r="AI9" s="1429">
        <v>19.947230531968263</v>
      </c>
      <c r="AJ9" s="1430">
        <v>36970</v>
      </c>
      <c r="AK9" s="1429">
        <v>27.086233423694043</v>
      </c>
      <c r="AL9" s="1430">
        <v>388686.3946580622</v>
      </c>
      <c r="AM9" s="1411">
        <v>92.48</v>
      </c>
      <c r="AN9" s="1429">
        <v>37.200000000000003</v>
      </c>
      <c r="AO9" s="558">
        <v>47.9</v>
      </c>
      <c r="AP9" s="546"/>
      <c r="AQ9" s="553">
        <v>1195</v>
      </c>
      <c r="AR9" s="1212">
        <v>23</v>
      </c>
      <c r="AS9" s="1458">
        <v>3728</v>
      </c>
      <c r="AT9" s="1458">
        <v>73</v>
      </c>
      <c r="AU9" s="1430">
        <v>2481</v>
      </c>
      <c r="AV9" s="1430">
        <v>59</v>
      </c>
      <c r="AW9" s="1458">
        <v>396</v>
      </c>
      <c r="AX9" s="1458">
        <v>8</v>
      </c>
      <c r="AY9" s="1430" t="s">
        <v>148</v>
      </c>
      <c r="AZ9" s="1458" t="s">
        <v>148</v>
      </c>
      <c r="BA9" s="1458" t="s">
        <v>148</v>
      </c>
      <c r="BB9" s="1458" t="s">
        <v>148</v>
      </c>
      <c r="BC9" s="1459" t="s">
        <v>148</v>
      </c>
      <c r="BD9" s="553">
        <v>50</v>
      </c>
      <c r="BE9" s="1458">
        <v>1842</v>
      </c>
      <c r="BF9" s="1458">
        <v>1474</v>
      </c>
      <c r="BG9" s="1458">
        <v>1808</v>
      </c>
      <c r="BH9" s="1430">
        <v>1223</v>
      </c>
      <c r="BI9" s="561" t="s">
        <v>148</v>
      </c>
      <c r="BJ9" s="1458" t="s">
        <v>148</v>
      </c>
      <c r="BK9" s="1458" t="s">
        <v>148</v>
      </c>
      <c r="BL9" s="1458" t="s">
        <v>148</v>
      </c>
      <c r="BM9" s="1458" t="s">
        <v>148</v>
      </c>
      <c r="BN9" s="1458" t="s">
        <v>148</v>
      </c>
      <c r="BO9" s="1459" t="s">
        <v>148</v>
      </c>
      <c r="BP9" s="553">
        <v>49</v>
      </c>
      <c r="BQ9" s="1458">
        <v>1275</v>
      </c>
      <c r="BR9" s="1458">
        <v>2048</v>
      </c>
      <c r="BS9" s="1458">
        <v>1499</v>
      </c>
      <c r="BT9" s="1458">
        <v>824</v>
      </c>
      <c r="BU9" s="1458">
        <v>1911</v>
      </c>
      <c r="BV9" s="1459">
        <v>1181</v>
      </c>
      <c r="BW9" s="553">
        <v>8</v>
      </c>
      <c r="BX9" s="1212">
        <v>143</v>
      </c>
      <c r="BY9" s="1458">
        <v>84</v>
      </c>
      <c r="BZ9" s="1430">
        <v>0</v>
      </c>
      <c r="CA9" s="559">
        <v>21</v>
      </c>
      <c r="CB9" s="559">
        <v>8</v>
      </c>
      <c r="CC9" s="550"/>
      <c r="CD9" s="553">
        <v>19</v>
      </c>
      <c r="CE9" s="1430">
        <v>2</v>
      </c>
      <c r="CF9" s="1553">
        <v>4626</v>
      </c>
      <c r="CG9" s="1430">
        <v>494</v>
      </c>
      <c r="CH9" s="560">
        <v>1719.1</v>
      </c>
      <c r="CI9" s="1430">
        <v>211</v>
      </c>
      <c r="CJ9" s="1459">
        <v>128</v>
      </c>
      <c r="CK9" s="553">
        <v>679</v>
      </c>
      <c r="CL9" s="1429">
        <v>246.7</v>
      </c>
      <c r="CM9" s="1430">
        <v>187</v>
      </c>
      <c r="CN9" s="1429">
        <v>68</v>
      </c>
      <c r="CO9" s="561">
        <v>694</v>
      </c>
      <c r="CP9" s="1432">
        <v>252.2</v>
      </c>
      <c r="CQ9" s="544"/>
      <c r="CR9" s="562">
        <v>414</v>
      </c>
      <c r="CS9" s="562">
        <v>3238</v>
      </c>
      <c r="CT9" s="562">
        <v>101</v>
      </c>
      <c r="CU9" s="562">
        <v>1042</v>
      </c>
      <c r="CV9" s="562">
        <v>11042</v>
      </c>
      <c r="CW9" s="562">
        <v>3092</v>
      </c>
      <c r="CX9" s="562">
        <v>3998</v>
      </c>
    </row>
    <row r="10" spans="1:102" ht="15.75" customHeight="1">
      <c r="A10" s="860" t="s">
        <v>152</v>
      </c>
      <c r="B10" s="1041">
        <v>3924</v>
      </c>
      <c r="C10" s="1046">
        <v>18.100000000000001</v>
      </c>
      <c r="D10" s="1436">
        <v>3276</v>
      </c>
      <c r="E10" s="538"/>
      <c r="F10" s="690">
        <v>1</v>
      </c>
      <c r="G10" s="1554">
        <v>50</v>
      </c>
      <c r="H10" s="1555">
        <v>10</v>
      </c>
      <c r="I10" s="1555">
        <v>575</v>
      </c>
      <c r="J10" s="1555">
        <v>8</v>
      </c>
      <c r="K10" s="1555">
        <v>194</v>
      </c>
      <c r="L10" s="1554" t="s">
        <v>153</v>
      </c>
      <c r="M10" s="1554" t="s">
        <v>153</v>
      </c>
      <c r="N10" s="1556">
        <v>57</v>
      </c>
      <c r="O10" s="1380">
        <v>2110</v>
      </c>
      <c r="P10" s="869">
        <v>824</v>
      </c>
      <c r="Q10" s="1554">
        <v>5</v>
      </c>
      <c r="R10" s="1556">
        <v>170</v>
      </c>
      <c r="S10" s="1554">
        <v>2</v>
      </c>
      <c r="T10" s="1554">
        <v>7</v>
      </c>
      <c r="U10" s="1556">
        <v>730</v>
      </c>
      <c r="V10" s="1554">
        <v>2</v>
      </c>
      <c r="W10" s="1556">
        <v>148</v>
      </c>
      <c r="X10" s="1554">
        <v>2</v>
      </c>
      <c r="Y10" s="1556">
        <v>93</v>
      </c>
      <c r="Z10" s="1380">
        <v>5</v>
      </c>
      <c r="AA10" s="542"/>
      <c r="AB10" s="869">
        <v>70045</v>
      </c>
      <c r="AC10" s="1554">
        <v>11269</v>
      </c>
      <c r="AD10" s="1554">
        <v>19655345677</v>
      </c>
      <c r="AE10" s="1557">
        <v>97.6</v>
      </c>
      <c r="AF10" s="1558">
        <v>13</v>
      </c>
      <c r="AG10" s="544"/>
      <c r="AH10" s="1041">
        <v>43170</v>
      </c>
      <c r="AI10" s="1435">
        <v>19.600000000000001</v>
      </c>
      <c r="AJ10" s="1436">
        <v>30203</v>
      </c>
      <c r="AK10" s="1435">
        <v>27.4</v>
      </c>
      <c r="AL10" s="1436">
        <v>408976</v>
      </c>
      <c r="AM10" s="1438">
        <v>92.8</v>
      </c>
      <c r="AN10" s="1435">
        <v>31.2</v>
      </c>
      <c r="AO10" s="1237">
        <v>26.3</v>
      </c>
      <c r="AP10" s="546"/>
      <c r="AQ10" s="563">
        <v>1333</v>
      </c>
      <c r="AR10" s="1462">
        <v>30</v>
      </c>
      <c r="AS10" s="1462">
        <v>2947</v>
      </c>
      <c r="AT10" s="1462">
        <v>66</v>
      </c>
      <c r="AU10" s="1393">
        <v>2154</v>
      </c>
      <c r="AV10" s="1393">
        <v>57.1</v>
      </c>
      <c r="AW10" s="1462">
        <v>594</v>
      </c>
      <c r="AX10" s="1462">
        <v>13.3</v>
      </c>
      <c r="AY10" s="1393" t="s">
        <v>153</v>
      </c>
      <c r="AZ10" s="1462" t="s">
        <v>153</v>
      </c>
      <c r="BA10" s="1462" t="s">
        <v>153</v>
      </c>
      <c r="BB10" s="1462" t="s">
        <v>153</v>
      </c>
      <c r="BC10" s="1451" t="s">
        <v>153</v>
      </c>
      <c r="BD10" s="563">
        <v>18</v>
      </c>
      <c r="BE10" s="1462">
        <v>492</v>
      </c>
      <c r="BF10" s="1462">
        <v>458</v>
      </c>
      <c r="BG10" s="1462">
        <v>436</v>
      </c>
      <c r="BH10" s="1393">
        <v>326</v>
      </c>
      <c r="BI10" s="1042" t="s">
        <v>153</v>
      </c>
      <c r="BJ10" s="1559" t="s">
        <v>153</v>
      </c>
      <c r="BK10" s="1559" t="s">
        <v>153</v>
      </c>
      <c r="BL10" s="1559" t="s">
        <v>153</v>
      </c>
      <c r="BM10" s="1462" t="s">
        <v>153</v>
      </c>
      <c r="BN10" s="1462" t="s">
        <v>153</v>
      </c>
      <c r="BO10" s="1451" t="s">
        <v>153</v>
      </c>
      <c r="BP10" s="563">
        <v>66</v>
      </c>
      <c r="BQ10" s="1462">
        <v>1154</v>
      </c>
      <c r="BR10" s="1462">
        <v>2746</v>
      </c>
      <c r="BS10" s="1462">
        <v>2226</v>
      </c>
      <c r="BT10" s="1462">
        <v>781</v>
      </c>
      <c r="BU10" s="1462">
        <v>2511</v>
      </c>
      <c r="BV10" s="1451">
        <v>1800</v>
      </c>
      <c r="BW10" s="563">
        <v>2</v>
      </c>
      <c r="BX10" s="550">
        <v>37</v>
      </c>
      <c r="BY10" s="1462">
        <v>28</v>
      </c>
      <c r="BZ10" s="1393">
        <v>0</v>
      </c>
      <c r="CA10" s="1058">
        <v>15</v>
      </c>
      <c r="CB10" s="1058">
        <v>12</v>
      </c>
      <c r="CC10" s="550"/>
      <c r="CD10" s="563">
        <v>21</v>
      </c>
      <c r="CE10" s="1393">
        <v>1</v>
      </c>
      <c r="CF10" s="1560">
        <v>4189</v>
      </c>
      <c r="CG10" s="1393">
        <v>628</v>
      </c>
      <c r="CH10" s="1227">
        <v>1906.4</v>
      </c>
      <c r="CI10" s="1393">
        <v>170</v>
      </c>
      <c r="CJ10" s="1451">
        <v>92</v>
      </c>
      <c r="CK10" s="563">
        <v>551</v>
      </c>
      <c r="CL10" s="1435">
        <v>250.7</v>
      </c>
      <c r="CM10" s="1393">
        <v>157</v>
      </c>
      <c r="CN10" s="1452">
        <v>71.400000000000006</v>
      </c>
      <c r="CO10" s="635">
        <v>463</v>
      </c>
      <c r="CP10" s="1453">
        <v>210.7</v>
      </c>
      <c r="CQ10" s="544"/>
      <c r="CR10" s="1228">
        <v>283</v>
      </c>
      <c r="CS10" s="1228">
        <v>2491</v>
      </c>
      <c r="CT10" s="1228">
        <v>95</v>
      </c>
      <c r="CU10" s="1228">
        <v>671</v>
      </c>
      <c r="CV10" s="1228">
        <v>8454</v>
      </c>
      <c r="CW10" s="1228">
        <v>2269</v>
      </c>
      <c r="CX10" s="1228">
        <v>3095</v>
      </c>
    </row>
    <row r="11" spans="1:102" ht="15.75" customHeight="1">
      <c r="A11" s="858" t="s">
        <v>154</v>
      </c>
      <c r="B11" s="586">
        <v>4575</v>
      </c>
      <c r="C11" s="658">
        <v>15.98</v>
      </c>
      <c r="D11" s="1416">
        <v>3914</v>
      </c>
      <c r="E11" s="538"/>
      <c r="F11" s="576">
        <v>2</v>
      </c>
      <c r="G11" s="1536">
        <v>100</v>
      </c>
      <c r="H11" s="1536">
        <v>20</v>
      </c>
      <c r="I11" s="1536">
        <v>1474</v>
      </c>
      <c r="J11" s="1536">
        <v>4</v>
      </c>
      <c r="K11" s="1536">
        <v>116</v>
      </c>
      <c r="L11" s="1536">
        <v>2</v>
      </c>
      <c r="M11" s="1536">
        <v>100</v>
      </c>
      <c r="N11" s="1538">
        <v>129</v>
      </c>
      <c r="O11" s="1442">
        <v>3335</v>
      </c>
      <c r="P11" s="812">
        <v>1009</v>
      </c>
      <c r="Q11" s="1536">
        <v>4</v>
      </c>
      <c r="R11" s="1538">
        <v>205</v>
      </c>
      <c r="S11" s="1536">
        <v>28</v>
      </c>
      <c r="T11" s="1536">
        <v>9</v>
      </c>
      <c r="U11" s="1538">
        <v>874</v>
      </c>
      <c r="V11" s="1536">
        <v>4</v>
      </c>
      <c r="W11" s="1538">
        <v>158</v>
      </c>
      <c r="X11" s="1536">
        <v>1</v>
      </c>
      <c r="Y11" s="1538">
        <v>60</v>
      </c>
      <c r="Z11" s="1442">
        <v>4</v>
      </c>
      <c r="AA11" s="542"/>
      <c r="AB11" s="812">
        <v>81227</v>
      </c>
      <c r="AC11" s="1536">
        <v>16865</v>
      </c>
      <c r="AD11" s="1536">
        <v>25737082198</v>
      </c>
      <c r="AE11" s="1540">
        <v>98.58</v>
      </c>
      <c r="AF11" s="1442">
        <v>11</v>
      </c>
      <c r="AG11" s="544"/>
      <c r="AH11" s="586">
        <v>49314</v>
      </c>
      <c r="AI11" s="1415">
        <v>17.5</v>
      </c>
      <c r="AJ11" s="1416">
        <v>34371</v>
      </c>
      <c r="AK11" s="1415">
        <v>24.9</v>
      </c>
      <c r="AL11" s="1215">
        <v>419073</v>
      </c>
      <c r="AM11" s="1418">
        <v>94</v>
      </c>
      <c r="AN11" s="1415">
        <v>44.7</v>
      </c>
      <c r="AO11" s="1229">
        <v>11.1</v>
      </c>
      <c r="AP11" s="546"/>
      <c r="AQ11" s="586">
        <v>1195</v>
      </c>
      <c r="AR11" s="1383">
        <v>0.19866999168744803</v>
      </c>
      <c r="AS11" s="1541">
        <v>3926</v>
      </c>
      <c r="AT11" s="1561">
        <v>0.65270157938487117</v>
      </c>
      <c r="AU11" s="1416">
        <v>2908</v>
      </c>
      <c r="AV11" s="1562">
        <v>0.5506532853626207</v>
      </c>
      <c r="AW11" s="1541">
        <v>552</v>
      </c>
      <c r="AX11" s="1561">
        <v>9.1770573566084784E-2</v>
      </c>
      <c r="AY11" s="1416">
        <v>9</v>
      </c>
      <c r="AZ11" s="1541">
        <v>392</v>
      </c>
      <c r="BA11" s="1541">
        <v>193</v>
      </c>
      <c r="BB11" s="1541">
        <v>299</v>
      </c>
      <c r="BC11" s="1542">
        <v>159</v>
      </c>
      <c r="BD11" s="586">
        <v>41</v>
      </c>
      <c r="BE11" s="1541">
        <v>1871</v>
      </c>
      <c r="BF11" s="1541">
        <v>1410</v>
      </c>
      <c r="BG11" s="1541">
        <v>2022</v>
      </c>
      <c r="BH11" s="1416">
        <v>1370</v>
      </c>
      <c r="BI11" s="649" t="s">
        <v>148</v>
      </c>
      <c r="BJ11" s="1541" t="s">
        <v>148</v>
      </c>
      <c r="BK11" s="1541" t="s">
        <v>148</v>
      </c>
      <c r="BL11" s="1541" t="s">
        <v>148</v>
      </c>
      <c r="BM11" s="1541" t="s">
        <v>148</v>
      </c>
      <c r="BN11" s="1541" t="s">
        <v>148</v>
      </c>
      <c r="BO11" s="1542" t="s">
        <v>148</v>
      </c>
      <c r="BP11" s="586">
        <v>29</v>
      </c>
      <c r="BQ11" s="1541">
        <v>1264</v>
      </c>
      <c r="BR11" s="1541">
        <v>1623</v>
      </c>
      <c r="BS11" s="1541">
        <v>1197</v>
      </c>
      <c r="BT11" s="1541">
        <v>1181</v>
      </c>
      <c r="BU11" s="1541">
        <v>1673</v>
      </c>
      <c r="BV11" s="1542">
        <v>1102</v>
      </c>
      <c r="BW11" s="586">
        <v>28</v>
      </c>
      <c r="BX11" s="1215">
        <v>427</v>
      </c>
      <c r="BY11" s="1541">
        <v>320</v>
      </c>
      <c r="BZ11" s="1416">
        <v>1</v>
      </c>
      <c r="CA11" s="1031">
        <v>40</v>
      </c>
      <c r="CB11" s="1031">
        <v>10</v>
      </c>
      <c r="CC11" s="550"/>
      <c r="CD11" s="586">
        <v>27</v>
      </c>
      <c r="CE11" s="1416">
        <v>1</v>
      </c>
      <c r="CF11" s="1543">
        <v>5052</v>
      </c>
      <c r="CG11" s="1416">
        <v>268</v>
      </c>
      <c r="CH11" s="1230">
        <v>1793.9894959997443</v>
      </c>
      <c r="CI11" s="1416">
        <v>263</v>
      </c>
      <c r="CJ11" s="1542">
        <v>187</v>
      </c>
      <c r="CK11" s="586">
        <v>843</v>
      </c>
      <c r="CL11" s="1415">
        <v>299.35335414247515</v>
      </c>
      <c r="CM11" s="1416">
        <v>445</v>
      </c>
      <c r="CN11" s="1415">
        <v>158.02164008707169</v>
      </c>
      <c r="CO11" s="649">
        <v>879</v>
      </c>
      <c r="CP11" s="1443">
        <v>312.13712727311469</v>
      </c>
      <c r="CQ11" s="544"/>
      <c r="CR11" s="1231">
        <v>241</v>
      </c>
      <c r="CS11" s="1231">
        <v>2851</v>
      </c>
      <c r="CT11" s="1231">
        <v>86</v>
      </c>
      <c r="CU11" s="1231">
        <v>1099</v>
      </c>
      <c r="CV11" s="1231">
        <v>9906</v>
      </c>
      <c r="CW11" s="1231">
        <v>2359</v>
      </c>
      <c r="CX11" s="1231">
        <v>3603</v>
      </c>
    </row>
    <row r="12" spans="1:102" ht="15.75" customHeight="1">
      <c r="A12" s="860" t="s">
        <v>155</v>
      </c>
      <c r="B12" s="1050">
        <v>5201</v>
      </c>
      <c r="C12" s="1446">
        <v>17.2</v>
      </c>
      <c r="D12" s="1445">
        <v>4295</v>
      </c>
      <c r="E12" s="538"/>
      <c r="F12" s="789">
        <v>3</v>
      </c>
      <c r="G12" s="1555">
        <v>205</v>
      </c>
      <c r="H12" s="1563">
        <v>22</v>
      </c>
      <c r="I12" s="1563">
        <v>1468</v>
      </c>
      <c r="J12" s="1563">
        <v>5</v>
      </c>
      <c r="K12" s="1563">
        <v>145</v>
      </c>
      <c r="L12" s="1563">
        <v>1</v>
      </c>
      <c r="M12" s="1563">
        <v>50</v>
      </c>
      <c r="N12" s="1564">
        <v>30</v>
      </c>
      <c r="O12" s="1565">
        <v>936</v>
      </c>
      <c r="P12" s="1232">
        <v>888</v>
      </c>
      <c r="Q12" s="1563">
        <v>9</v>
      </c>
      <c r="R12" s="1564">
        <v>370</v>
      </c>
      <c r="S12" s="1563">
        <v>1</v>
      </c>
      <c r="T12" s="1554">
        <v>13</v>
      </c>
      <c r="U12" s="1556">
        <v>1318</v>
      </c>
      <c r="V12" s="1555" t="s">
        <v>153</v>
      </c>
      <c r="W12" s="1379" t="s">
        <v>153</v>
      </c>
      <c r="X12" s="1555" t="s">
        <v>153</v>
      </c>
      <c r="Y12" s="1379" t="s">
        <v>153</v>
      </c>
      <c r="Z12" s="1565">
        <v>3</v>
      </c>
      <c r="AA12" s="542"/>
      <c r="AB12" s="690">
        <v>97562</v>
      </c>
      <c r="AC12" s="1554">
        <v>19891</v>
      </c>
      <c r="AD12" s="1554">
        <v>27294079912</v>
      </c>
      <c r="AE12" s="1557">
        <v>97.6</v>
      </c>
      <c r="AF12" s="1565">
        <v>18</v>
      </c>
      <c r="AG12" s="544"/>
      <c r="AH12" s="1041">
        <v>53463</v>
      </c>
      <c r="AI12" s="1435">
        <v>17.899999999999999</v>
      </c>
      <c r="AJ12" s="1436">
        <v>37218</v>
      </c>
      <c r="AK12" s="1435">
        <v>25.4</v>
      </c>
      <c r="AL12" s="1436">
        <v>475010</v>
      </c>
      <c r="AM12" s="1438">
        <v>91.8</v>
      </c>
      <c r="AN12" s="1446">
        <v>37.299999999999997</v>
      </c>
      <c r="AO12" s="1233">
        <v>15.4</v>
      </c>
      <c r="AP12" s="546"/>
      <c r="AQ12" s="1050">
        <v>1400</v>
      </c>
      <c r="AR12" s="1234">
        <v>24.246622791825427</v>
      </c>
      <c r="AS12" s="1449">
        <v>3982</v>
      </c>
      <c r="AT12" s="1449">
        <v>68.964322826463459</v>
      </c>
      <c r="AU12" s="1445">
        <v>2853</v>
      </c>
      <c r="AV12" s="1445">
        <v>56.139315230224319</v>
      </c>
      <c r="AW12" s="1449">
        <v>541</v>
      </c>
      <c r="AX12" s="1449">
        <v>9.3695878074125396</v>
      </c>
      <c r="AY12" s="1445">
        <v>6</v>
      </c>
      <c r="AZ12" s="1449">
        <v>287</v>
      </c>
      <c r="BA12" s="1449">
        <v>178</v>
      </c>
      <c r="BB12" s="1449">
        <v>158</v>
      </c>
      <c r="BC12" s="1566">
        <v>77</v>
      </c>
      <c r="BD12" s="1050">
        <v>43</v>
      </c>
      <c r="BE12" s="1449">
        <v>1658</v>
      </c>
      <c r="BF12" s="1449">
        <v>1833</v>
      </c>
      <c r="BG12" s="1449">
        <v>1779</v>
      </c>
      <c r="BH12" s="1445">
        <v>1419</v>
      </c>
      <c r="BI12" s="635" t="s">
        <v>153</v>
      </c>
      <c r="BJ12" s="635" t="s">
        <v>153</v>
      </c>
      <c r="BK12" s="635" t="s">
        <v>153</v>
      </c>
      <c r="BL12" s="635" t="s">
        <v>153</v>
      </c>
      <c r="BM12" s="635" t="s">
        <v>153</v>
      </c>
      <c r="BN12" s="635" t="s">
        <v>153</v>
      </c>
      <c r="BO12" s="1058" t="s">
        <v>153</v>
      </c>
      <c r="BP12" s="1050">
        <v>34</v>
      </c>
      <c r="BQ12" s="1449">
        <v>1529</v>
      </c>
      <c r="BR12" s="1449">
        <v>2022</v>
      </c>
      <c r="BS12" s="1449">
        <v>1521</v>
      </c>
      <c r="BT12" s="1449">
        <v>1005</v>
      </c>
      <c r="BU12" s="1449">
        <v>2036</v>
      </c>
      <c r="BV12" s="1566">
        <v>1155</v>
      </c>
      <c r="BW12" s="1050">
        <v>18</v>
      </c>
      <c r="BX12" s="1234">
        <v>328</v>
      </c>
      <c r="BY12" s="1559">
        <v>202</v>
      </c>
      <c r="BZ12" s="1436">
        <v>0</v>
      </c>
      <c r="CA12" s="1057">
        <v>33</v>
      </c>
      <c r="CB12" s="1057">
        <v>9</v>
      </c>
      <c r="CC12" s="550"/>
      <c r="CD12" s="1050">
        <v>21</v>
      </c>
      <c r="CE12" s="1445" t="s">
        <v>153</v>
      </c>
      <c r="CF12" s="1567">
        <v>5446</v>
      </c>
      <c r="CG12" s="1445" t="s">
        <v>153</v>
      </c>
      <c r="CH12" s="1235">
        <v>1823.9</v>
      </c>
      <c r="CI12" s="1445">
        <v>290</v>
      </c>
      <c r="CJ12" s="1566">
        <v>154</v>
      </c>
      <c r="CK12" s="1050">
        <v>1268</v>
      </c>
      <c r="CL12" s="1446">
        <v>424.7</v>
      </c>
      <c r="CM12" s="1445">
        <v>240</v>
      </c>
      <c r="CN12" s="1446">
        <v>80.400000000000006</v>
      </c>
      <c r="CO12" s="1053">
        <v>890</v>
      </c>
      <c r="CP12" s="1568">
        <v>298.10000000000002</v>
      </c>
      <c r="CQ12" s="544"/>
      <c r="CR12" s="1236">
        <v>309</v>
      </c>
      <c r="CS12" s="1236">
        <v>3116</v>
      </c>
      <c r="CT12" s="1236">
        <v>90</v>
      </c>
      <c r="CU12" s="1236">
        <v>855</v>
      </c>
      <c r="CV12" s="1236">
        <v>13137</v>
      </c>
      <c r="CW12" s="1236">
        <v>2529</v>
      </c>
      <c r="CX12" s="1236">
        <v>3137</v>
      </c>
    </row>
    <row r="13" spans="1:102" ht="15.75" customHeight="1">
      <c r="A13" s="858" t="s">
        <v>156</v>
      </c>
      <c r="B13" s="553">
        <v>2135</v>
      </c>
      <c r="C13" s="521">
        <v>8.73</v>
      </c>
      <c r="D13" s="1430">
        <v>1807</v>
      </c>
      <c r="E13" s="538"/>
      <c r="F13" s="554">
        <v>2</v>
      </c>
      <c r="G13" s="1537">
        <v>150</v>
      </c>
      <c r="H13" s="1537">
        <v>15</v>
      </c>
      <c r="I13" s="1537">
        <v>1296</v>
      </c>
      <c r="J13" s="1537">
        <v>17</v>
      </c>
      <c r="K13" s="1537">
        <v>484</v>
      </c>
      <c r="L13" s="1537">
        <v>1</v>
      </c>
      <c r="M13" s="1537">
        <v>50</v>
      </c>
      <c r="N13" s="1539">
        <v>73</v>
      </c>
      <c r="O13" s="1431">
        <v>2101</v>
      </c>
      <c r="P13" s="556">
        <v>798</v>
      </c>
      <c r="Q13" s="1537">
        <v>2</v>
      </c>
      <c r="R13" s="1539">
        <v>100</v>
      </c>
      <c r="S13" s="1537">
        <v>5</v>
      </c>
      <c r="T13" s="1537">
        <v>5</v>
      </c>
      <c r="U13" s="1539">
        <v>429</v>
      </c>
      <c r="V13" s="1537">
        <v>1</v>
      </c>
      <c r="W13" s="1539">
        <v>18</v>
      </c>
      <c r="X13" s="1537" t="s">
        <v>153</v>
      </c>
      <c r="Y13" s="1539" t="s">
        <v>153</v>
      </c>
      <c r="Z13" s="1431" t="s">
        <v>153</v>
      </c>
      <c r="AA13" s="542"/>
      <c r="AB13" s="554">
        <v>72991</v>
      </c>
      <c r="AC13" s="1537">
        <v>12130</v>
      </c>
      <c r="AD13" s="1537">
        <v>21104272619</v>
      </c>
      <c r="AE13" s="1408">
        <v>98.59</v>
      </c>
      <c r="AF13" s="1431">
        <v>14</v>
      </c>
      <c r="AG13" s="544"/>
      <c r="AH13" s="553">
        <v>40904</v>
      </c>
      <c r="AI13" s="1429">
        <v>17.100000000000001</v>
      </c>
      <c r="AJ13" s="1430">
        <v>27279</v>
      </c>
      <c r="AK13" s="1429">
        <v>25.9</v>
      </c>
      <c r="AL13" s="1430">
        <v>432735</v>
      </c>
      <c r="AM13" s="1411">
        <v>93.5</v>
      </c>
      <c r="AN13" s="1429">
        <v>43.5</v>
      </c>
      <c r="AO13" s="558">
        <v>29.7</v>
      </c>
      <c r="AP13" s="546"/>
      <c r="AQ13" s="553">
        <v>927</v>
      </c>
      <c r="AR13" s="1212">
        <v>18.100000000000001</v>
      </c>
      <c r="AS13" s="1458">
        <v>3400</v>
      </c>
      <c r="AT13" s="1458">
        <v>66</v>
      </c>
      <c r="AU13" s="1430">
        <v>2490</v>
      </c>
      <c r="AV13" s="1430">
        <v>53</v>
      </c>
      <c r="AW13" s="1458">
        <v>519</v>
      </c>
      <c r="AX13" s="1569">
        <v>10.14</v>
      </c>
      <c r="AY13" s="1430">
        <v>10</v>
      </c>
      <c r="AZ13" s="1458">
        <v>638</v>
      </c>
      <c r="BA13" s="1458">
        <v>342</v>
      </c>
      <c r="BB13" s="1458">
        <f>132+151+155</f>
        <v>438</v>
      </c>
      <c r="BC13" s="1459">
        <v>254</v>
      </c>
      <c r="BD13" s="553">
        <v>31</v>
      </c>
      <c r="BE13" s="1458">
        <v>1523</v>
      </c>
      <c r="BF13" s="1458">
        <v>1231</v>
      </c>
      <c r="BG13" s="1458">
        <v>1374</v>
      </c>
      <c r="BH13" s="1430">
        <v>1024</v>
      </c>
      <c r="BI13" s="561" t="s">
        <v>153</v>
      </c>
      <c r="BJ13" s="1458" t="s">
        <v>153</v>
      </c>
      <c r="BK13" s="1458" t="s">
        <v>153</v>
      </c>
      <c r="BL13" s="1458" t="s">
        <v>153</v>
      </c>
      <c r="BM13" s="1458" t="s">
        <v>153</v>
      </c>
      <c r="BN13" s="1458" t="s">
        <v>153</v>
      </c>
      <c r="BO13" s="1459" t="s">
        <v>153</v>
      </c>
      <c r="BP13" s="553">
        <v>31</v>
      </c>
      <c r="BQ13" s="1458">
        <f>30+722+370</f>
        <v>1122</v>
      </c>
      <c r="BR13" s="1458">
        <f>161+1125+306</f>
        <v>1592</v>
      </c>
      <c r="BS13" s="1458">
        <f>110+953+84</f>
        <v>1147</v>
      </c>
      <c r="BT13" s="1458">
        <v>788</v>
      </c>
      <c r="BU13" s="1458">
        <v>1522</v>
      </c>
      <c r="BV13" s="1459">
        <v>986</v>
      </c>
      <c r="BW13" s="553">
        <v>25</v>
      </c>
      <c r="BX13" s="1212">
        <f>78+149</f>
        <v>227</v>
      </c>
      <c r="BY13" s="1458">
        <v>137</v>
      </c>
      <c r="BZ13" s="1430">
        <v>0</v>
      </c>
      <c r="CA13" s="559">
        <v>3</v>
      </c>
      <c r="CB13" s="559">
        <v>26</v>
      </c>
      <c r="CC13" s="550"/>
      <c r="CD13" s="553">
        <v>17</v>
      </c>
      <c r="CE13" s="1430">
        <v>1</v>
      </c>
      <c r="CF13" s="1553">
        <v>5067</v>
      </c>
      <c r="CG13" s="1430">
        <v>528</v>
      </c>
      <c r="CH13" s="560">
        <v>2117.1999999999998</v>
      </c>
      <c r="CI13" s="1430">
        <v>252</v>
      </c>
      <c r="CJ13" s="1459">
        <v>139</v>
      </c>
      <c r="CK13" s="553">
        <v>1221</v>
      </c>
      <c r="CL13" s="1429">
        <v>510.2</v>
      </c>
      <c r="CM13" s="1430">
        <v>205</v>
      </c>
      <c r="CN13" s="1429">
        <v>85.7</v>
      </c>
      <c r="CO13" s="561">
        <v>746</v>
      </c>
      <c r="CP13" s="1432">
        <v>311.7</v>
      </c>
      <c r="CQ13" s="544"/>
      <c r="CR13" s="562">
        <v>170</v>
      </c>
      <c r="CS13" s="562">
        <v>1809</v>
      </c>
      <c r="CT13" s="562">
        <v>64</v>
      </c>
      <c r="CU13" s="562">
        <v>986</v>
      </c>
      <c r="CV13" s="562">
        <v>10836</v>
      </c>
      <c r="CW13" s="562">
        <v>1809</v>
      </c>
      <c r="CX13" s="562">
        <v>1777</v>
      </c>
    </row>
    <row r="14" spans="1:102" ht="15.75" customHeight="1">
      <c r="A14" s="860" t="s">
        <v>157</v>
      </c>
      <c r="B14" s="537">
        <v>3256</v>
      </c>
      <c r="C14" s="517">
        <v>11.7</v>
      </c>
      <c r="D14" s="1464">
        <v>2714</v>
      </c>
      <c r="E14" s="538"/>
      <c r="F14" s="539">
        <v>2</v>
      </c>
      <c r="G14" s="1570">
        <v>150</v>
      </c>
      <c r="H14" s="1570">
        <v>22</v>
      </c>
      <c r="I14" s="1570">
        <v>1524</v>
      </c>
      <c r="J14" s="1570">
        <v>3</v>
      </c>
      <c r="K14" s="1570">
        <v>85</v>
      </c>
      <c r="L14" s="1570">
        <v>1</v>
      </c>
      <c r="M14" s="1570">
        <v>60</v>
      </c>
      <c r="N14" s="1571">
        <v>35</v>
      </c>
      <c r="O14" s="1572">
        <v>1366</v>
      </c>
      <c r="P14" s="541">
        <v>942</v>
      </c>
      <c r="Q14" s="1570">
        <v>8</v>
      </c>
      <c r="R14" s="1571">
        <v>300</v>
      </c>
      <c r="S14" s="1570">
        <v>3</v>
      </c>
      <c r="T14" s="1570">
        <v>12</v>
      </c>
      <c r="U14" s="1571">
        <v>1109</v>
      </c>
      <c r="V14" s="1570" t="s">
        <v>148</v>
      </c>
      <c r="W14" s="1571" t="s">
        <v>148</v>
      </c>
      <c r="X14" s="1570" t="s">
        <v>148</v>
      </c>
      <c r="Y14" s="1571" t="s">
        <v>148</v>
      </c>
      <c r="Z14" s="1572" t="s">
        <v>153</v>
      </c>
      <c r="AA14" s="542"/>
      <c r="AB14" s="541">
        <v>83400</v>
      </c>
      <c r="AC14" s="1570">
        <v>16833</v>
      </c>
      <c r="AD14" s="1570">
        <v>25064644377</v>
      </c>
      <c r="AE14" s="1467">
        <v>99.01</v>
      </c>
      <c r="AF14" s="1572">
        <v>22</v>
      </c>
      <c r="AG14" s="544"/>
      <c r="AH14" s="537">
        <v>48938</v>
      </c>
      <c r="AI14" s="1465">
        <v>18.2</v>
      </c>
      <c r="AJ14" s="1464">
        <v>32951</v>
      </c>
      <c r="AK14" s="1465">
        <v>26.3</v>
      </c>
      <c r="AL14" s="1464">
        <v>378352</v>
      </c>
      <c r="AM14" s="1465">
        <v>94.9</v>
      </c>
      <c r="AN14" s="1465">
        <v>44</v>
      </c>
      <c r="AO14" s="545">
        <v>14.2</v>
      </c>
      <c r="AP14" s="546"/>
      <c r="AQ14" s="537">
        <v>425</v>
      </c>
      <c r="AR14" s="547">
        <v>8</v>
      </c>
      <c r="AS14" s="1573">
        <v>3375</v>
      </c>
      <c r="AT14" s="1573">
        <v>60</v>
      </c>
      <c r="AU14" s="1464">
        <v>2684</v>
      </c>
      <c r="AV14" s="1464">
        <v>55</v>
      </c>
      <c r="AW14" s="1573">
        <v>814</v>
      </c>
      <c r="AX14" s="1573">
        <v>14</v>
      </c>
      <c r="AY14" s="1464">
        <v>11</v>
      </c>
      <c r="AZ14" s="1573">
        <v>461</v>
      </c>
      <c r="BA14" s="1573">
        <v>329</v>
      </c>
      <c r="BB14" s="1573">
        <v>477</v>
      </c>
      <c r="BC14" s="1466">
        <v>268</v>
      </c>
      <c r="BD14" s="537">
        <v>34</v>
      </c>
      <c r="BE14" s="1573">
        <v>1654</v>
      </c>
      <c r="BF14" s="1573">
        <v>1286</v>
      </c>
      <c r="BG14" s="1573">
        <v>1826</v>
      </c>
      <c r="BH14" s="1464">
        <v>1294</v>
      </c>
      <c r="BI14" s="548">
        <v>3</v>
      </c>
      <c r="BJ14" s="1573">
        <v>165</v>
      </c>
      <c r="BK14" s="1573">
        <v>210</v>
      </c>
      <c r="BL14" s="1573">
        <v>90</v>
      </c>
      <c r="BM14" s="1573">
        <v>64</v>
      </c>
      <c r="BN14" s="1573">
        <v>198</v>
      </c>
      <c r="BO14" s="1466">
        <v>88</v>
      </c>
      <c r="BP14" s="537">
        <v>11</v>
      </c>
      <c r="BQ14" s="1573">
        <v>442</v>
      </c>
      <c r="BR14" s="1573">
        <v>609</v>
      </c>
      <c r="BS14" s="1573">
        <v>374</v>
      </c>
      <c r="BT14" s="1573">
        <v>325</v>
      </c>
      <c r="BU14" s="1573">
        <v>641</v>
      </c>
      <c r="BV14" s="1466">
        <v>352</v>
      </c>
      <c r="BW14" s="537">
        <v>22</v>
      </c>
      <c r="BX14" s="547">
        <v>398</v>
      </c>
      <c r="BY14" s="1573">
        <v>356</v>
      </c>
      <c r="BZ14" s="1464">
        <v>0</v>
      </c>
      <c r="CA14" s="549">
        <v>3</v>
      </c>
      <c r="CB14" s="549">
        <v>23</v>
      </c>
      <c r="CC14" s="550"/>
      <c r="CD14" s="537">
        <v>21</v>
      </c>
      <c r="CE14" s="1464" t="s">
        <v>153</v>
      </c>
      <c r="CF14" s="1574">
        <v>4410</v>
      </c>
      <c r="CG14" s="1464" t="s">
        <v>153</v>
      </c>
      <c r="CH14" s="551">
        <v>1637.2</v>
      </c>
      <c r="CI14" s="1464">
        <v>258</v>
      </c>
      <c r="CJ14" s="1466">
        <v>134</v>
      </c>
      <c r="CK14" s="537">
        <v>1216</v>
      </c>
      <c r="CL14" s="1465">
        <v>451.4</v>
      </c>
      <c r="CM14" s="1464">
        <v>199</v>
      </c>
      <c r="CN14" s="1465">
        <v>73.900000000000006</v>
      </c>
      <c r="CO14" s="1464">
        <v>749</v>
      </c>
      <c r="CP14" s="1468">
        <v>278.10000000000002</v>
      </c>
      <c r="CQ14" s="544"/>
      <c r="CR14" s="1571">
        <v>262</v>
      </c>
      <c r="CS14" s="552">
        <v>2617</v>
      </c>
      <c r="CT14" s="1571">
        <v>49</v>
      </c>
      <c r="CU14" s="552">
        <v>817</v>
      </c>
      <c r="CV14" s="552">
        <v>9604</v>
      </c>
      <c r="CW14" s="552">
        <v>2727</v>
      </c>
      <c r="CX14" s="552">
        <v>3096</v>
      </c>
    </row>
    <row r="15" spans="1:102" ht="15.75" customHeight="1">
      <c r="A15" s="858" t="s">
        <v>158</v>
      </c>
      <c r="B15" s="586">
        <v>3341</v>
      </c>
      <c r="C15" s="521">
        <v>10.4</v>
      </c>
      <c r="D15" s="1416">
        <v>2809</v>
      </c>
      <c r="E15" s="538"/>
      <c r="F15" s="576">
        <v>1</v>
      </c>
      <c r="G15" s="1536">
        <v>74</v>
      </c>
      <c r="H15" s="1536">
        <v>17</v>
      </c>
      <c r="I15" s="1536">
        <v>1224</v>
      </c>
      <c r="J15" s="1536">
        <v>7</v>
      </c>
      <c r="K15" s="1536">
        <v>171</v>
      </c>
      <c r="L15" s="1536">
        <v>1</v>
      </c>
      <c r="M15" s="1536">
        <v>60</v>
      </c>
      <c r="N15" s="1538">
        <v>54</v>
      </c>
      <c r="O15" s="1442">
        <v>1696</v>
      </c>
      <c r="P15" s="812">
        <v>1038</v>
      </c>
      <c r="Q15" s="1536">
        <v>4</v>
      </c>
      <c r="R15" s="1538">
        <v>170</v>
      </c>
      <c r="S15" s="1536">
        <v>2</v>
      </c>
      <c r="T15" s="1536">
        <v>8</v>
      </c>
      <c r="U15" s="1538">
        <v>754</v>
      </c>
      <c r="V15" s="1536">
        <v>3</v>
      </c>
      <c r="W15" s="1538">
        <v>150</v>
      </c>
      <c r="X15" s="1536">
        <v>1</v>
      </c>
      <c r="Y15" s="1538">
        <v>10</v>
      </c>
      <c r="Z15" s="1442">
        <v>6</v>
      </c>
      <c r="AA15" s="542"/>
      <c r="AB15" s="812">
        <v>87657</v>
      </c>
      <c r="AC15" s="1536">
        <v>16512</v>
      </c>
      <c r="AD15" s="1536">
        <v>24643827341</v>
      </c>
      <c r="AE15" s="1540">
        <v>97.1</v>
      </c>
      <c r="AF15" s="1442">
        <v>18</v>
      </c>
      <c r="AG15" s="544"/>
      <c r="AH15" s="586">
        <v>59844</v>
      </c>
      <c r="AI15" s="1415">
        <v>18.899999999999999</v>
      </c>
      <c r="AJ15" s="1416">
        <v>40212</v>
      </c>
      <c r="AK15" s="1415">
        <v>27.7</v>
      </c>
      <c r="AL15" s="1215">
        <v>381814</v>
      </c>
      <c r="AM15" s="1418">
        <v>91.05</v>
      </c>
      <c r="AN15" s="1415">
        <v>39.1</v>
      </c>
      <c r="AO15" s="1229">
        <v>11.4</v>
      </c>
      <c r="AP15" s="546"/>
      <c r="AQ15" s="553">
        <v>1043</v>
      </c>
      <c r="AR15" s="1212">
        <v>14</v>
      </c>
      <c r="AS15" s="1541">
        <v>2942</v>
      </c>
      <c r="AT15" s="1541">
        <v>40.299999999999997</v>
      </c>
      <c r="AU15" s="1416">
        <v>2585</v>
      </c>
      <c r="AV15" s="1416">
        <v>40.9</v>
      </c>
      <c r="AW15" s="1458">
        <v>2223</v>
      </c>
      <c r="AX15" s="1458">
        <v>30</v>
      </c>
      <c r="AY15" s="1416">
        <v>25</v>
      </c>
      <c r="AZ15" s="1541">
        <v>1196</v>
      </c>
      <c r="BA15" s="1541">
        <v>804</v>
      </c>
      <c r="BB15" s="1541">
        <v>1046</v>
      </c>
      <c r="BC15" s="1542">
        <v>748</v>
      </c>
      <c r="BD15" s="586">
        <v>34</v>
      </c>
      <c r="BE15" s="1541">
        <v>1358</v>
      </c>
      <c r="BF15" s="1541">
        <v>1100</v>
      </c>
      <c r="BG15" s="1541">
        <v>1299</v>
      </c>
      <c r="BH15" s="1416">
        <v>1095</v>
      </c>
      <c r="BI15" s="649" t="s">
        <v>153</v>
      </c>
      <c r="BJ15" s="1541" t="s">
        <v>153</v>
      </c>
      <c r="BK15" s="1541" t="s">
        <v>153</v>
      </c>
      <c r="BL15" s="1541" t="s">
        <v>153</v>
      </c>
      <c r="BM15" s="1541" t="s">
        <v>153</v>
      </c>
      <c r="BN15" s="1541" t="s">
        <v>153</v>
      </c>
      <c r="BO15" s="1542" t="s">
        <v>153</v>
      </c>
      <c r="BP15" s="586">
        <v>8</v>
      </c>
      <c r="BQ15" s="1458">
        <v>432</v>
      </c>
      <c r="BR15" s="1541">
        <v>574</v>
      </c>
      <c r="BS15" s="1541">
        <v>287</v>
      </c>
      <c r="BT15" s="1541" t="s">
        <v>153</v>
      </c>
      <c r="BU15" s="1541">
        <v>577</v>
      </c>
      <c r="BV15" s="1542">
        <v>296</v>
      </c>
      <c r="BW15" s="586">
        <v>22</v>
      </c>
      <c r="BX15" s="1215">
        <v>411</v>
      </c>
      <c r="BY15" s="1541">
        <v>374</v>
      </c>
      <c r="BZ15" s="1416">
        <v>0</v>
      </c>
      <c r="CA15" s="559">
        <v>1</v>
      </c>
      <c r="CB15" s="1031">
        <v>5</v>
      </c>
      <c r="CC15" s="550"/>
      <c r="CD15" s="586">
        <v>22</v>
      </c>
      <c r="CE15" s="1416">
        <v>1</v>
      </c>
      <c r="CF15" s="1543">
        <v>5704</v>
      </c>
      <c r="CG15" s="1416">
        <v>40</v>
      </c>
      <c r="CH15" s="1230">
        <v>1802.9</v>
      </c>
      <c r="CI15" s="1416">
        <v>240</v>
      </c>
      <c r="CJ15" s="1542">
        <v>168</v>
      </c>
      <c r="CK15" s="586">
        <v>879</v>
      </c>
      <c r="CL15" s="1415">
        <v>277.8</v>
      </c>
      <c r="CM15" s="1416">
        <v>431</v>
      </c>
      <c r="CN15" s="1415">
        <v>136.19999999999999</v>
      </c>
      <c r="CO15" s="649">
        <v>849</v>
      </c>
      <c r="CP15" s="1443">
        <v>268.3</v>
      </c>
      <c r="CQ15" s="544"/>
      <c r="CR15" s="1231">
        <v>228</v>
      </c>
      <c r="CS15" s="1231">
        <v>2515</v>
      </c>
      <c r="CT15" s="1231">
        <v>98</v>
      </c>
      <c r="CU15" s="1231">
        <v>1248</v>
      </c>
      <c r="CV15" s="1231">
        <v>10371</v>
      </c>
      <c r="CW15" s="1231">
        <v>1027</v>
      </c>
      <c r="CX15" s="1231">
        <v>2989</v>
      </c>
    </row>
    <row r="16" spans="1:102" ht="15.75" customHeight="1">
      <c r="A16" s="860" t="s">
        <v>160</v>
      </c>
      <c r="B16" s="563">
        <v>4215</v>
      </c>
      <c r="C16" s="1452">
        <v>13.8</v>
      </c>
      <c r="D16" s="1393">
        <v>3395</v>
      </c>
      <c r="E16" s="538"/>
      <c r="F16" s="690">
        <v>2</v>
      </c>
      <c r="G16" s="1554">
        <v>180</v>
      </c>
      <c r="H16" s="1554">
        <v>16</v>
      </c>
      <c r="I16" s="1554">
        <v>1325</v>
      </c>
      <c r="J16" s="1554">
        <v>11</v>
      </c>
      <c r="K16" s="1554">
        <v>310</v>
      </c>
      <c r="L16" s="1554">
        <v>1</v>
      </c>
      <c r="M16" s="1554">
        <v>50</v>
      </c>
      <c r="N16" s="1556">
        <v>60</v>
      </c>
      <c r="O16" s="1558">
        <v>1806</v>
      </c>
      <c r="P16" s="869">
        <v>749</v>
      </c>
      <c r="Q16" s="1554">
        <v>5</v>
      </c>
      <c r="R16" s="1556">
        <v>180</v>
      </c>
      <c r="S16" s="1554">
        <v>4</v>
      </c>
      <c r="T16" s="1554">
        <v>10</v>
      </c>
      <c r="U16" s="1556">
        <v>1001</v>
      </c>
      <c r="V16" s="1554">
        <v>7</v>
      </c>
      <c r="W16" s="1556">
        <v>157</v>
      </c>
      <c r="X16" s="1554">
        <v>1</v>
      </c>
      <c r="Y16" s="1556">
        <v>30</v>
      </c>
      <c r="Z16" s="1558">
        <v>1</v>
      </c>
      <c r="AA16" s="542"/>
      <c r="AB16" s="690">
        <v>98576</v>
      </c>
      <c r="AC16" s="1555">
        <v>21071</v>
      </c>
      <c r="AD16" s="1554">
        <v>27823124700</v>
      </c>
      <c r="AE16" s="1557">
        <v>97.39</v>
      </c>
      <c r="AF16" s="1558">
        <v>9</v>
      </c>
      <c r="AG16" s="544"/>
      <c r="AH16" s="1041">
        <v>57294</v>
      </c>
      <c r="AI16" s="1435">
        <v>18.600000000000001</v>
      </c>
      <c r="AJ16" s="1436">
        <v>39751</v>
      </c>
      <c r="AK16" s="1435">
        <v>27.1</v>
      </c>
      <c r="AL16" s="1436">
        <v>412871</v>
      </c>
      <c r="AM16" s="1438">
        <v>92.2</v>
      </c>
      <c r="AN16" s="1452">
        <v>33.5</v>
      </c>
      <c r="AO16" s="1237">
        <v>27.6</v>
      </c>
      <c r="AP16" s="546"/>
      <c r="AQ16" s="1041">
        <v>1632</v>
      </c>
      <c r="AR16" s="1238">
        <v>24</v>
      </c>
      <c r="AS16" s="1559">
        <v>2544</v>
      </c>
      <c r="AT16" s="1575">
        <v>37</v>
      </c>
      <c r="AU16" s="1436">
        <v>1888</v>
      </c>
      <c r="AV16" s="1576">
        <v>33</v>
      </c>
      <c r="AW16" s="1559">
        <v>1201</v>
      </c>
      <c r="AX16" s="1559">
        <v>9</v>
      </c>
      <c r="AY16" s="1436">
        <v>31</v>
      </c>
      <c r="AZ16" s="1559">
        <v>1403</v>
      </c>
      <c r="BA16" s="1462">
        <v>718</v>
      </c>
      <c r="BB16" s="1559">
        <v>1240</v>
      </c>
      <c r="BC16" s="1577">
        <v>630</v>
      </c>
      <c r="BD16" s="1041">
        <v>23</v>
      </c>
      <c r="BE16" s="1559">
        <v>1588</v>
      </c>
      <c r="BF16" s="1559">
        <v>1247</v>
      </c>
      <c r="BG16" s="1559">
        <v>1531</v>
      </c>
      <c r="BH16" s="1436">
        <v>1020</v>
      </c>
      <c r="BI16" s="1042" t="s">
        <v>148</v>
      </c>
      <c r="BJ16" s="1559" t="s">
        <v>148</v>
      </c>
      <c r="BK16" s="1559" t="s">
        <v>148</v>
      </c>
      <c r="BL16" s="1559" t="s">
        <v>148</v>
      </c>
      <c r="BM16" s="1559" t="s">
        <v>148</v>
      </c>
      <c r="BN16" s="1559" t="s">
        <v>148</v>
      </c>
      <c r="BO16" s="1577" t="s">
        <v>148</v>
      </c>
      <c r="BP16" s="1041">
        <v>18</v>
      </c>
      <c r="BQ16" s="1559">
        <v>1206</v>
      </c>
      <c r="BR16" s="1559">
        <v>1044</v>
      </c>
      <c r="BS16" s="1559">
        <v>642</v>
      </c>
      <c r="BT16" s="1559">
        <v>1048</v>
      </c>
      <c r="BU16" s="1559">
        <v>1024</v>
      </c>
      <c r="BV16" s="1577">
        <v>571</v>
      </c>
      <c r="BW16" s="563">
        <v>18</v>
      </c>
      <c r="BX16" s="1239">
        <v>353</v>
      </c>
      <c r="BY16" s="1559">
        <v>302</v>
      </c>
      <c r="BZ16" s="1436">
        <v>2</v>
      </c>
      <c r="CA16" s="844">
        <v>2</v>
      </c>
      <c r="CB16" s="844">
        <v>5</v>
      </c>
      <c r="CC16" s="550"/>
      <c r="CD16" s="1041">
        <v>25</v>
      </c>
      <c r="CE16" s="1436">
        <v>1</v>
      </c>
      <c r="CF16" s="1560">
        <v>4696</v>
      </c>
      <c r="CG16" s="1436">
        <v>700</v>
      </c>
      <c r="CH16" s="1240">
        <v>1456</v>
      </c>
      <c r="CI16" s="1436">
        <v>250</v>
      </c>
      <c r="CJ16" s="1577">
        <v>152</v>
      </c>
      <c r="CK16" s="1041">
        <v>595</v>
      </c>
      <c r="CL16" s="1435">
        <v>184.5</v>
      </c>
      <c r="CM16" s="1436">
        <v>228</v>
      </c>
      <c r="CN16" s="1435">
        <v>70.7</v>
      </c>
      <c r="CO16" s="1042">
        <v>805</v>
      </c>
      <c r="CP16" s="1439">
        <v>249.6</v>
      </c>
      <c r="CQ16" s="544"/>
      <c r="CR16" s="1228">
        <v>307</v>
      </c>
      <c r="CS16" s="1228">
        <v>2375</v>
      </c>
      <c r="CT16" s="1236">
        <v>117</v>
      </c>
      <c r="CU16" s="1236">
        <v>1373</v>
      </c>
      <c r="CV16" s="1236">
        <v>12320</v>
      </c>
      <c r="CW16" s="1236">
        <v>2912</v>
      </c>
      <c r="CX16" s="1236">
        <v>2853</v>
      </c>
    </row>
    <row r="17" spans="1:102" ht="15.75" customHeight="1">
      <c r="A17" s="858" t="s">
        <v>162</v>
      </c>
      <c r="B17" s="553">
        <v>5119</v>
      </c>
      <c r="C17" s="521">
        <v>19.04</v>
      </c>
      <c r="D17" s="1430">
        <v>4086</v>
      </c>
      <c r="E17" s="538"/>
      <c r="F17" s="554">
        <v>2</v>
      </c>
      <c r="G17" s="1537">
        <v>170</v>
      </c>
      <c r="H17" s="1537">
        <v>26</v>
      </c>
      <c r="I17" s="1537">
        <v>1801</v>
      </c>
      <c r="J17" s="1537">
        <v>2</v>
      </c>
      <c r="K17" s="1537">
        <v>43</v>
      </c>
      <c r="L17" s="1537" t="s">
        <v>153</v>
      </c>
      <c r="M17" s="1537" t="s">
        <v>153</v>
      </c>
      <c r="N17" s="1539">
        <v>58</v>
      </c>
      <c r="O17" s="1431">
        <v>2105</v>
      </c>
      <c r="P17" s="556">
        <v>830</v>
      </c>
      <c r="Q17" s="1537">
        <v>5</v>
      </c>
      <c r="R17" s="1539">
        <v>240</v>
      </c>
      <c r="S17" s="1537">
        <v>7</v>
      </c>
      <c r="T17" s="1537">
        <v>13</v>
      </c>
      <c r="U17" s="1539">
        <v>1138</v>
      </c>
      <c r="V17" s="1537" t="s">
        <v>153</v>
      </c>
      <c r="W17" s="1539" t="s">
        <v>153</v>
      </c>
      <c r="X17" s="1537" t="s">
        <v>153</v>
      </c>
      <c r="Y17" s="1539" t="s">
        <v>153</v>
      </c>
      <c r="Z17" s="1431" t="s">
        <v>153</v>
      </c>
      <c r="AA17" s="542"/>
      <c r="AB17" s="554">
        <v>72403</v>
      </c>
      <c r="AC17" s="1537">
        <v>14010</v>
      </c>
      <c r="AD17" s="1537">
        <v>22534764853</v>
      </c>
      <c r="AE17" s="1408">
        <v>97.38</v>
      </c>
      <c r="AF17" s="1431">
        <v>1</v>
      </c>
      <c r="AG17" s="544"/>
      <c r="AH17" s="553">
        <v>51328</v>
      </c>
      <c r="AI17" s="1429">
        <v>19.100000000000001</v>
      </c>
      <c r="AJ17" s="1430">
        <v>34177</v>
      </c>
      <c r="AK17" s="1429">
        <v>26.2</v>
      </c>
      <c r="AL17" s="1430">
        <v>333398</v>
      </c>
      <c r="AM17" s="1411">
        <v>91.4</v>
      </c>
      <c r="AN17" s="1429">
        <v>26.4</v>
      </c>
      <c r="AO17" s="558">
        <v>10.6</v>
      </c>
      <c r="AP17" s="546"/>
      <c r="AQ17" s="553">
        <v>2108</v>
      </c>
      <c r="AR17" s="1212">
        <v>33.799999999999997</v>
      </c>
      <c r="AS17" s="1458">
        <v>3823</v>
      </c>
      <c r="AT17" s="1458">
        <v>61.2</v>
      </c>
      <c r="AU17" s="1430">
        <v>2499</v>
      </c>
      <c r="AV17" s="1430">
        <v>44.1</v>
      </c>
      <c r="AW17" s="1458">
        <v>406</v>
      </c>
      <c r="AX17" s="1458">
        <v>6.5</v>
      </c>
      <c r="AY17" s="1430">
        <v>11</v>
      </c>
      <c r="AZ17" s="1458">
        <v>562</v>
      </c>
      <c r="BA17" s="1458">
        <v>308</v>
      </c>
      <c r="BB17" s="1458">
        <v>438</v>
      </c>
      <c r="BC17" s="1459">
        <v>214</v>
      </c>
      <c r="BD17" s="553">
        <v>48</v>
      </c>
      <c r="BE17" s="1458">
        <v>2503</v>
      </c>
      <c r="BF17" s="1458">
        <v>2032</v>
      </c>
      <c r="BG17" s="1458">
        <v>2557</v>
      </c>
      <c r="BH17" s="1416">
        <v>1779</v>
      </c>
      <c r="BI17" s="649">
        <v>5</v>
      </c>
      <c r="BJ17" s="1458">
        <v>320</v>
      </c>
      <c r="BK17" s="1458">
        <v>179</v>
      </c>
      <c r="BL17" s="1458">
        <v>41</v>
      </c>
      <c r="BM17" s="1458">
        <v>132</v>
      </c>
      <c r="BN17" s="1458">
        <v>110</v>
      </c>
      <c r="BO17" s="1459">
        <v>20</v>
      </c>
      <c r="BP17" s="553">
        <v>14</v>
      </c>
      <c r="BQ17" s="1458">
        <v>2048</v>
      </c>
      <c r="BR17" s="1458">
        <v>568</v>
      </c>
      <c r="BS17" s="1458">
        <v>181</v>
      </c>
      <c r="BT17" s="1458">
        <v>1185</v>
      </c>
      <c r="BU17" s="1458">
        <v>714</v>
      </c>
      <c r="BV17" s="1459">
        <v>186</v>
      </c>
      <c r="BW17" s="553">
        <v>28</v>
      </c>
      <c r="BX17" s="1212">
        <v>416</v>
      </c>
      <c r="BY17" s="1458">
        <v>304</v>
      </c>
      <c r="BZ17" s="1430">
        <v>1</v>
      </c>
      <c r="CA17" s="559">
        <v>1</v>
      </c>
      <c r="CB17" s="559">
        <v>17</v>
      </c>
      <c r="CC17" s="550"/>
      <c r="CD17" s="553">
        <v>25</v>
      </c>
      <c r="CE17" s="1430" t="s">
        <v>153</v>
      </c>
      <c r="CF17" s="1553">
        <v>3415</v>
      </c>
      <c r="CG17" s="1430" t="s">
        <v>153</v>
      </c>
      <c r="CH17" s="560">
        <v>1268.5899999999999</v>
      </c>
      <c r="CI17" s="1430">
        <v>249</v>
      </c>
      <c r="CJ17" s="1459">
        <v>170</v>
      </c>
      <c r="CK17" s="553">
        <v>771</v>
      </c>
      <c r="CL17" s="1429">
        <v>284.8</v>
      </c>
      <c r="CM17" s="1430">
        <v>235</v>
      </c>
      <c r="CN17" s="1429">
        <v>86.8</v>
      </c>
      <c r="CO17" s="561">
        <v>761</v>
      </c>
      <c r="CP17" s="1432">
        <v>281.10000000000002</v>
      </c>
      <c r="CQ17" s="544"/>
      <c r="CR17" s="562">
        <v>400</v>
      </c>
      <c r="CS17" s="562">
        <v>2515</v>
      </c>
      <c r="CT17" s="562">
        <v>121</v>
      </c>
      <c r="CU17" s="562">
        <v>976</v>
      </c>
      <c r="CV17" s="562">
        <v>8600</v>
      </c>
      <c r="CW17" s="562">
        <v>2614</v>
      </c>
      <c r="CX17" s="562">
        <v>2787</v>
      </c>
    </row>
    <row r="18" spans="1:102" ht="15.75" customHeight="1">
      <c r="A18" s="860" t="s">
        <v>164</v>
      </c>
      <c r="B18" s="563">
        <v>8152</v>
      </c>
      <c r="C18" s="638">
        <v>15.87</v>
      </c>
      <c r="D18" s="1393">
        <v>6694</v>
      </c>
      <c r="E18" s="538"/>
      <c r="F18" s="627">
        <v>1</v>
      </c>
      <c r="G18" s="1555">
        <v>110</v>
      </c>
      <c r="H18" s="1555">
        <v>31</v>
      </c>
      <c r="I18" s="1555">
        <v>1995</v>
      </c>
      <c r="J18" s="1555">
        <v>10</v>
      </c>
      <c r="K18" s="1555">
        <v>281</v>
      </c>
      <c r="L18" s="1555" t="s">
        <v>153</v>
      </c>
      <c r="M18" s="1555" t="s">
        <v>153</v>
      </c>
      <c r="N18" s="1379">
        <v>65</v>
      </c>
      <c r="O18" s="1380">
        <v>2051</v>
      </c>
      <c r="P18" s="544">
        <v>1209</v>
      </c>
      <c r="Q18" s="1555">
        <v>13</v>
      </c>
      <c r="R18" s="1379">
        <v>575</v>
      </c>
      <c r="S18" s="1555">
        <v>5</v>
      </c>
      <c r="T18" s="1555">
        <v>10</v>
      </c>
      <c r="U18" s="1379">
        <v>1038</v>
      </c>
      <c r="V18" s="1555" t="s">
        <v>153</v>
      </c>
      <c r="W18" s="1379" t="s">
        <v>153</v>
      </c>
      <c r="X18" s="1555">
        <v>2</v>
      </c>
      <c r="Y18" s="1379">
        <v>152</v>
      </c>
      <c r="Z18" s="1380" t="s">
        <v>153</v>
      </c>
      <c r="AA18" s="542"/>
      <c r="AB18" s="627">
        <v>134557</v>
      </c>
      <c r="AC18" s="1555">
        <v>23516</v>
      </c>
      <c r="AD18" s="1555">
        <v>32534441260</v>
      </c>
      <c r="AE18" s="1407">
        <v>97.6</v>
      </c>
      <c r="AF18" s="1380">
        <v>25</v>
      </c>
      <c r="AG18" s="544"/>
      <c r="AH18" s="563">
        <v>95376</v>
      </c>
      <c r="AI18" s="1452">
        <v>18.48</v>
      </c>
      <c r="AJ18" s="1393">
        <v>64165</v>
      </c>
      <c r="AK18" s="1452">
        <v>26.43</v>
      </c>
      <c r="AL18" s="1393">
        <v>388536.7</v>
      </c>
      <c r="AM18" s="1471">
        <v>90.07</v>
      </c>
      <c r="AN18" s="1452">
        <v>27.9</v>
      </c>
      <c r="AO18" s="1237">
        <v>26.4</v>
      </c>
      <c r="AP18" s="546"/>
      <c r="AQ18" s="563">
        <v>2924</v>
      </c>
      <c r="AR18" s="550">
        <v>23</v>
      </c>
      <c r="AS18" s="1462">
        <v>6217</v>
      </c>
      <c r="AT18" s="1462">
        <v>49</v>
      </c>
      <c r="AU18" s="1393">
        <v>11220</v>
      </c>
      <c r="AV18" s="1393">
        <v>42</v>
      </c>
      <c r="AW18" s="1462">
        <v>1323</v>
      </c>
      <c r="AX18" s="1462">
        <v>10</v>
      </c>
      <c r="AY18" s="1393">
        <v>10</v>
      </c>
      <c r="AZ18" s="1462">
        <v>852</v>
      </c>
      <c r="BA18" s="1462">
        <v>528</v>
      </c>
      <c r="BB18" s="1462">
        <v>732</v>
      </c>
      <c r="BC18" s="1451">
        <v>333</v>
      </c>
      <c r="BD18" s="563">
        <v>76</v>
      </c>
      <c r="BE18" s="1462">
        <v>3833</v>
      </c>
      <c r="BF18" s="1462">
        <v>3219</v>
      </c>
      <c r="BG18" s="1462">
        <v>4082</v>
      </c>
      <c r="BH18" s="1462">
        <v>2986</v>
      </c>
      <c r="BI18" s="1393" t="s">
        <v>153</v>
      </c>
      <c r="BJ18" s="1462" t="s">
        <v>153</v>
      </c>
      <c r="BK18" s="1462" t="s">
        <v>153</v>
      </c>
      <c r="BL18" s="1462" t="s">
        <v>153</v>
      </c>
      <c r="BM18" s="1462" t="s">
        <v>153</v>
      </c>
      <c r="BN18" s="1462" t="s">
        <v>153</v>
      </c>
      <c r="BO18" s="1451" t="s">
        <v>153</v>
      </c>
      <c r="BP18" s="563">
        <v>23</v>
      </c>
      <c r="BQ18" s="1462">
        <v>3406</v>
      </c>
      <c r="BR18" s="1462">
        <v>1091</v>
      </c>
      <c r="BS18" s="1462">
        <v>751</v>
      </c>
      <c r="BT18" s="1462">
        <v>3059</v>
      </c>
      <c r="BU18" s="1462">
        <v>1470</v>
      </c>
      <c r="BV18" s="1451">
        <v>745</v>
      </c>
      <c r="BW18" s="563">
        <v>53</v>
      </c>
      <c r="BX18" s="550">
        <v>904</v>
      </c>
      <c r="BY18" s="1462">
        <v>634</v>
      </c>
      <c r="BZ18" s="1393">
        <v>0</v>
      </c>
      <c r="CA18" s="1058">
        <v>3</v>
      </c>
      <c r="CB18" s="1058">
        <v>12</v>
      </c>
      <c r="CC18" s="550"/>
      <c r="CD18" s="563">
        <v>33</v>
      </c>
      <c r="CE18" s="1393" t="s">
        <v>153</v>
      </c>
      <c r="CF18" s="1578">
        <v>6843</v>
      </c>
      <c r="CG18" s="1393" t="s">
        <v>153</v>
      </c>
      <c r="CH18" s="1227">
        <v>1329.5</v>
      </c>
      <c r="CI18" s="1393">
        <v>438</v>
      </c>
      <c r="CJ18" s="1451">
        <v>304</v>
      </c>
      <c r="CK18" s="563">
        <v>1124</v>
      </c>
      <c r="CL18" s="1452">
        <v>216.7</v>
      </c>
      <c r="CM18" s="1393">
        <v>444</v>
      </c>
      <c r="CN18" s="1452">
        <v>85.6</v>
      </c>
      <c r="CO18" s="635">
        <v>1296</v>
      </c>
      <c r="CP18" s="1453">
        <v>249.8</v>
      </c>
      <c r="CQ18" s="544"/>
      <c r="CR18" s="1228">
        <v>513</v>
      </c>
      <c r="CS18" s="1228">
        <v>4155</v>
      </c>
      <c r="CT18" s="1228">
        <v>111</v>
      </c>
      <c r="CU18" s="1228">
        <v>2191</v>
      </c>
      <c r="CV18" s="1228">
        <v>14968</v>
      </c>
      <c r="CW18" s="1228">
        <v>4774</v>
      </c>
      <c r="CX18" s="1228">
        <v>5321</v>
      </c>
    </row>
    <row r="19" spans="1:102" ht="15.75" customHeight="1">
      <c r="A19" s="858" t="s">
        <v>166</v>
      </c>
      <c r="B19" s="553">
        <v>4270</v>
      </c>
      <c r="C19" s="521">
        <v>13</v>
      </c>
      <c r="D19" s="1430">
        <v>3559</v>
      </c>
      <c r="E19" s="538"/>
      <c r="F19" s="554">
        <v>2</v>
      </c>
      <c r="G19" s="1537">
        <v>130</v>
      </c>
      <c r="H19" s="1537">
        <v>26</v>
      </c>
      <c r="I19" s="1537">
        <v>1734</v>
      </c>
      <c r="J19" s="1537">
        <v>8</v>
      </c>
      <c r="K19" s="1537">
        <v>155</v>
      </c>
      <c r="L19" s="1537">
        <v>1</v>
      </c>
      <c r="M19" s="1537">
        <v>80</v>
      </c>
      <c r="N19" s="1539">
        <v>98</v>
      </c>
      <c r="O19" s="1431">
        <v>3163</v>
      </c>
      <c r="P19" s="556">
        <v>1212</v>
      </c>
      <c r="Q19" s="1537">
        <v>9</v>
      </c>
      <c r="R19" s="1539">
        <v>330</v>
      </c>
      <c r="S19" s="1537">
        <v>5</v>
      </c>
      <c r="T19" s="1537">
        <v>11</v>
      </c>
      <c r="U19" s="1539">
        <v>1005</v>
      </c>
      <c r="V19" s="1537">
        <v>1</v>
      </c>
      <c r="W19" s="1539">
        <v>65</v>
      </c>
      <c r="X19" s="1537" t="s">
        <v>153</v>
      </c>
      <c r="Y19" s="1539" t="s">
        <v>153</v>
      </c>
      <c r="Z19" s="1431" t="s">
        <v>153</v>
      </c>
      <c r="AA19" s="542"/>
      <c r="AB19" s="554">
        <v>98879</v>
      </c>
      <c r="AC19" s="1537">
        <v>17623</v>
      </c>
      <c r="AD19" s="1537">
        <v>29890135775</v>
      </c>
      <c r="AE19" s="1408">
        <v>98.5</v>
      </c>
      <c r="AF19" s="1431">
        <v>12</v>
      </c>
      <c r="AG19" s="544"/>
      <c r="AH19" s="553">
        <v>65784</v>
      </c>
      <c r="AI19" s="1579">
        <f>ROUNDDOWN(AH19/330358*100,1)</f>
        <v>19.899999999999999</v>
      </c>
      <c r="AJ19" s="1430">
        <v>43739</v>
      </c>
      <c r="AK19" s="1579">
        <f>ROUNDDOWN(AJ19/153436*100,1)</f>
        <v>28.5</v>
      </c>
      <c r="AL19" s="1430">
        <v>383791</v>
      </c>
      <c r="AM19" s="1411">
        <v>96.44</v>
      </c>
      <c r="AN19" s="1429">
        <v>39.299999999999997</v>
      </c>
      <c r="AO19" s="558">
        <v>23.9</v>
      </c>
      <c r="AP19" s="546"/>
      <c r="AQ19" s="553">
        <v>1618</v>
      </c>
      <c r="AR19" s="908">
        <v>22</v>
      </c>
      <c r="AS19" s="1458">
        <v>5124</v>
      </c>
      <c r="AT19" s="1580">
        <v>71</v>
      </c>
      <c r="AU19" s="1430">
        <v>2967</v>
      </c>
      <c r="AV19" s="1579">
        <v>47</v>
      </c>
      <c r="AW19" s="1458">
        <v>449</v>
      </c>
      <c r="AX19" s="1580">
        <v>6</v>
      </c>
      <c r="AY19" s="1430">
        <v>16</v>
      </c>
      <c r="AZ19" s="1458">
        <v>1158</v>
      </c>
      <c r="BA19" s="1458">
        <v>562</v>
      </c>
      <c r="BB19" s="1458">
        <v>913</v>
      </c>
      <c r="BC19" s="1459">
        <v>352</v>
      </c>
      <c r="BD19" s="553">
        <v>20</v>
      </c>
      <c r="BE19" s="1458">
        <v>929</v>
      </c>
      <c r="BF19" s="1458">
        <v>841</v>
      </c>
      <c r="BG19" s="1458">
        <v>879</v>
      </c>
      <c r="BH19" s="1458">
        <v>730</v>
      </c>
      <c r="BI19" s="1430" t="s">
        <v>153</v>
      </c>
      <c r="BJ19" s="1458" t="s">
        <v>153</v>
      </c>
      <c r="BK19" s="1458" t="s">
        <v>153</v>
      </c>
      <c r="BL19" s="1458" t="s">
        <v>153</v>
      </c>
      <c r="BM19" s="1458" t="s">
        <v>153</v>
      </c>
      <c r="BN19" s="1458" t="s">
        <v>153</v>
      </c>
      <c r="BO19" s="1459" t="s">
        <v>153</v>
      </c>
      <c r="BP19" s="553">
        <v>50</v>
      </c>
      <c r="BQ19" s="1458">
        <v>2568</v>
      </c>
      <c r="BR19" s="1458">
        <v>3383</v>
      </c>
      <c r="BS19" s="1458">
        <v>2362</v>
      </c>
      <c r="BT19" s="1458">
        <v>1618</v>
      </c>
      <c r="BU19" s="1458">
        <v>3332</v>
      </c>
      <c r="BV19" s="1459">
        <v>1885</v>
      </c>
      <c r="BW19" s="553" t="s">
        <v>153</v>
      </c>
      <c r="BX19" s="1212" t="s">
        <v>153</v>
      </c>
      <c r="BY19" s="1458" t="s">
        <v>153</v>
      </c>
      <c r="BZ19" s="1430">
        <v>0</v>
      </c>
      <c r="CA19" s="559">
        <v>5</v>
      </c>
      <c r="CB19" s="559">
        <v>18</v>
      </c>
      <c r="CC19" s="550"/>
      <c r="CD19" s="553">
        <v>20</v>
      </c>
      <c r="CE19" s="1430" t="s">
        <v>153</v>
      </c>
      <c r="CF19" s="1553">
        <v>4598</v>
      </c>
      <c r="CG19" s="1430" t="s">
        <v>153</v>
      </c>
      <c r="CH19" s="560">
        <v>1391.8</v>
      </c>
      <c r="CI19" s="1430">
        <v>342</v>
      </c>
      <c r="CJ19" s="1459">
        <v>203</v>
      </c>
      <c r="CK19" s="553">
        <v>1580</v>
      </c>
      <c r="CL19" s="1429">
        <v>475.7</v>
      </c>
      <c r="CM19" s="1430">
        <v>315</v>
      </c>
      <c r="CN19" s="1429">
        <v>94.8</v>
      </c>
      <c r="CO19" s="561">
        <v>943</v>
      </c>
      <c r="CP19" s="1432">
        <v>283.89999999999998</v>
      </c>
      <c r="CQ19" s="544"/>
      <c r="CR19" s="562">
        <v>296</v>
      </c>
      <c r="CS19" s="562">
        <v>2914</v>
      </c>
      <c r="CT19" s="562">
        <v>97</v>
      </c>
      <c r="CU19" s="562">
        <v>857</v>
      </c>
      <c r="CV19" s="562">
        <v>11638</v>
      </c>
      <c r="CW19" s="562">
        <v>2779</v>
      </c>
      <c r="CX19" s="562">
        <v>3223</v>
      </c>
    </row>
    <row r="20" spans="1:102" ht="15.75" customHeight="1">
      <c r="A20" s="860" t="s">
        <v>167</v>
      </c>
      <c r="B20" s="563">
        <v>3424</v>
      </c>
      <c r="C20" s="638">
        <v>9.3000000000000007</v>
      </c>
      <c r="D20" s="1393">
        <v>2953</v>
      </c>
      <c r="E20" s="538"/>
      <c r="F20" s="627">
        <v>4</v>
      </c>
      <c r="G20" s="1555">
        <v>210</v>
      </c>
      <c r="H20" s="1555">
        <v>30</v>
      </c>
      <c r="I20" s="1555">
        <v>1796</v>
      </c>
      <c r="J20" s="1555">
        <v>31</v>
      </c>
      <c r="K20" s="1555">
        <v>807</v>
      </c>
      <c r="L20" s="1555">
        <v>1</v>
      </c>
      <c r="M20" s="1555">
        <v>80</v>
      </c>
      <c r="N20" s="1379">
        <v>121</v>
      </c>
      <c r="O20" s="1380">
        <v>3989</v>
      </c>
      <c r="P20" s="544">
        <v>1318</v>
      </c>
      <c r="Q20" s="1555">
        <v>11</v>
      </c>
      <c r="R20" s="1379">
        <v>348</v>
      </c>
      <c r="S20" s="1555">
        <v>12</v>
      </c>
      <c r="T20" s="1555">
        <v>21</v>
      </c>
      <c r="U20" s="1379">
        <v>1438</v>
      </c>
      <c r="V20" s="1555">
        <v>1</v>
      </c>
      <c r="W20" s="1379">
        <v>19</v>
      </c>
      <c r="X20" s="1555" t="s">
        <v>153</v>
      </c>
      <c r="Y20" s="1379" t="s">
        <v>153</v>
      </c>
      <c r="Z20" s="1380" t="s">
        <v>153</v>
      </c>
      <c r="AA20" s="542"/>
      <c r="AB20" s="627">
        <v>104231</v>
      </c>
      <c r="AC20" s="1555">
        <v>18135</v>
      </c>
      <c r="AD20" s="1555">
        <v>33548936110</v>
      </c>
      <c r="AE20" s="1407">
        <v>98.5</v>
      </c>
      <c r="AF20" s="1380">
        <v>30</v>
      </c>
      <c r="AG20" s="544"/>
      <c r="AH20" s="563">
        <v>70720</v>
      </c>
      <c r="AI20" s="1452">
        <v>19.2</v>
      </c>
      <c r="AJ20" s="1393">
        <v>46635</v>
      </c>
      <c r="AK20" s="1452">
        <v>27.4</v>
      </c>
      <c r="AL20" s="1393">
        <v>391641</v>
      </c>
      <c r="AM20" s="1471">
        <v>96.9</v>
      </c>
      <c r="AN20" s="1452">
        <v>37.200000000000003</v>
      </c>
      <c r="AO20" s="1237">
        <v>15.8</v>
      </c>
      <c r="AP20" s="546"/>
      <c r="AQ20" s="563">
        <v>1608</v>
      </c>
      <c r="AR20" s="550">
        <v>19.399999999999999</v>
      </c>
      <c r="AS20" s="1462">
        <v>5223</v>
      </c>
      <c r="AT20" s="1462">
        <v>63.2</v>
      </c>
      <c r="AU20" s="1393">
        <v>3341</v>
      </c>
      <c r="AV20" s="1393">
        <v>45.6</v>
      </c>
      <c r="AW20" s="1462">
        <v>692</v>
      </c>
      <c r="AX20" s="1462">
        <v>8.4</v>
      </c>
      <c r="AY20" s="1393">
        <v>21</v>
      </c>
      <c r="AZ20" s="1462">
        <v>1564</v>
      </c>
      <c r="BA20" s="1462">
        <v>825</v>
      </c>
      <c r="BB20" s="1462">
        <v>1129</v>
      </c>
      <c r="BC20" s="1451">
        <v>604</v>
      </c>
      <c r="BD20" s="563">
        <v>32</v>
      </c>
      <c r="BE20" s="1462">
        <v>1412</v>
      </c>
      <c r="BF20" s="1462">
        <v>1068</v>
      </c>
      <c r="BG20" s="1462">
        <v>1390</v>
      </c>
      <c r="BH20" s="1462">
        <v>918</v>
      </c>
      <c r="BI20" s="1393" t="s">
        <v>148</v>
      </c>
      <c r="BJ20" s="1462" t="s">
        <v>148</v>
      </c>
      <c r="BK20" s="1462" t="s">
        <v>148</v>
      </c>
      <c r="BL20" s="1462" t="s">
        <v>148</v>
      </c>
      <c r="BM20" s="1462" t="s">
        <v>148</v>
      </c>
      <c r="BN20" s="1462" t="s">
        <v>148</v>
      </c>
      <c r="BO20" s="1451" t="s">
        <v>148</v>
      </c>
      <c r="BP20" s="563">
        <v>52</v>
      </c>
      <c r="BQ20" s="1462">
        <v>2337</v>
      </c>
      <c r="BR20" s="1462">
        <v>2778</v>
      </c>
      <c r="BS20" s="1462">
        <v>2082</v>
      </c>
      <c r="BT20" s="1462">
        <v>1608</v>
      </c>
      <c r="BU20" s="1462">
        <v>2704</v>
      </c>
      <c r="BV20" s="1451">
        <v>1819</v>
      </c>
      <c r="BW20" s="563" t="s">
        <v>148</v>
      </c>
      <c r="BX20" s="550" t="s">
        <v>148</v>
      </c>
      <c r="BY20" s="1462" t="s">
        <v>148</v>
      </c>
      <c r="BZ20" s="1393">
        <v>0</v>
      </c>
      <c r="CA20" s="1058">
        <v>5</v>
      </c>
      <c r="CB20" s="1058">
        <v>15</v>
      </c>
      <c r="CC20" s="550"/>
      <c r="CD20" s="563">
        <v>25</v>
      </c>
      <c r="CE20" s="1393" t="s">
        <v>153</v>
      </c>
      <c r="CF20" s="1578">
        <v>4267</v>
      </c>
      <c r="CG20" s="1393" t="s">
        <v>153</v>
      </c>
      <c r="CH20" s="1227">
        <v>1159.2</v>
      </c>
      <c r="CI20" s="1393">
        <v>356</v>
      </c>
      <c r="CJ20" s="1451">
        <v>205</v>
      </c>
      <c r="CK20" s="563">
        <v>858</v>
      </c>
      <c r="CL20" s="1452">
        <v>233.1</v>
      </c>
      <c r="CM20" s="1393">
        <v>298</v>
      </c>
      <c r="CN20" s="1452">
        <v>81</v>
      </c>
      <c r="CO20" s="635">
        <v>902</v>
      </c>
      <c r="CP20" s="1453">
        <v>245</v>
      </c>
      <c r="CQ20" s="544"/>
      <c r="CR20" s="1228">
        <v>345</v>
      </c>
      <c r="CS20" s="1228">
        <v>2899</v>
      </c>
      <c r="CT20" s="1228">
        <v>127</v>
      </c>
      <c r="CU20" s="1228">
        <v>1348</v>
      </c>
      <c r="CV20" s="1228">
        <v>11744</v>
      </c>
      <c r="CW20" s="1228">
        <v>2867</v>
      </c>
      <c r="CX20" s="1228">
        <v>2968</v>
      </c>
    </row>
    <row r="21" spans="1:102" ht="15.75" customHeight="1">
      <c r="A21" s="858" t="s">
        <v>173</v>
      </c>
      <c r="B21" s="553">
        <v>4175</v>
      </c>
      <c r="C21" s="521">
        <v>11.8</v>
      </c>
      <c r="D21" s="1581">
        <v>3361</v>
      </c>
      <c r="E21" s="538"/>
      <c r="F21" s="554">
        <v>1</v>
      </c>
      <c r="G21" s="1537">
        <v>100</v>
      </c>
      <c r="H21" s="1537">
        <v>16</v>
      </c>
      <c r="I21" s="1537">
        <v>1378</v>
      </c>
      <c r="J21" s="1537">
        <v>2</v>
      </c>
      <c r="K21" s="1537">
        <v>49</v>
      </c>
      <c r="L21" s="1537">
        <v>1</v>
      </c>
      <c r="M21" s="1537">
        <v>50</v>
      </c>
      <c r="N21" s="1539">
        <v>39</v>
      </c>
      <c r="O21" s="1431">
        <v>1631</v>
      </c>
      <c r="P21" s="556">
        <v>762</v>
      </c>
      <c r="Q21" s="1537">
        <v>2</v>
      </c>
      <c r="R21" s="1539">
        <v>102</v>
      </c>
      <c r="S21" s="1537">
        <v>2</v>
      </c>
      <c r="T21" s="1537">
        <v>8</v>
      </c>
      <c r="U21" s="1539">
        <v>700</v>
      </c>
      <c r="V21" s="1537">
        <v>1</v>
      </c>
      <c r="W21" s="1539">
        <v>47</v>
      </c>
      <c r="X21" s="1537" t="s">
        <v>153</v>
      </c>
      <c r="Y21" s="1539" t="s">
        <v>153</v>
      </c>
      <c r="Z21" s="1431">
        <v>3</v>
      </c>
      <c r="AA21" s="542"/>
      <c r="AB21" s="554">
        <v>95374</v>
      </c>
      <c r="AC21" s="1537">
        <v>16957</v>
      </c>
      <c r="AD21" s="1537">
        <v>23232153630</v>
      </c>
      <c r="AE21" s="1408">
        <v>98.5</v>
      </c>
      <c r="AF21" s="1431">
        <v>9</v>
      </c>
      <c r="AG21" s="544"/>
      <c r="AH21" s="553">
        <v>68398</v>
      </c>
      <c r="AI21" s="1429">
        <v>19.399999999999999</v>
      </c>
      <c r="AJ21" s="1430">
        <v>46779</v>
      </c>
      <c r="AK21" s="1429">
        <v>28.1</v>
      </c>
      <c r="AL21" s="1430">
        <v>375124</v>
      </c>
      <c r="AM21" s="1411">
        <v>93.54</v>
      </c>
      <c r="AN21" s="1429">
        <v>38.700000000000003</v>
      </c>
      <c r="AO21" s="558">
        <v>18.5</v>
      </c>
      <c r="AP21" s="546"/>
      <c r="AQ21" s="553">
        <v>544</v>
      </c>
      <c r="AR21" s="1212">
        <v>7</v>
      </c>
      <c r="AS21" s="1458">
        <v>3146</v>
      </c>
      <c r="AT21" s="1458">
        <v>40.4</v>
      </c>
      <c r="AU21" s="1430">
        <v>2967</v>
      </c>
      <c r="AV21" s="1430">
        <v>44.2</v>
      </c>
      <c r="AW21" s="1458">
        <v>193</v>
      </c>
      <c r="AX21" s="1458">
        <v>2.5</v>
      </c>
      <c r="AY21" s="1430">
        <v>20</v>
      </c>
      <c r="AZ21" s="1458">
        <v>1191</v>
      </c>
      <c r="BA21" s="1458">
        <v>639</v>
      </c>
      <c r="BB21" s="1458">
        <v>972</v>
      </c>
      <c r="BC21" s="1459">
        <v>543</v>
      </c>
      <c r="BD21" s="553">
        <v>37</v>
      </c>
      <c r="BE21" s="1458">
        <v>1723</v>
      </c>
      <c r="BF21" s="1458">
        <v>1293</v>
      </c>
      <c r="BG21" s="1458">
        <v>1718</v>
      </c>
      <c r="BH21" s="1458">
        <v>1242</v>
      </c>
      <c r="BI21" s="1430" t="s">
        <v>148</v>
      </c>
      <c r="BJ21" s="1458" t="s">
        <v>148</v>
      </c>
      <c r="BK21" s="1458" t="s">
        <v>148</v>
      </c>
      <c r="BL21" s="1458" t="s">
        <v>148</v>
      </c>
      <c r="BM21" s="1458" t="s">
        <v>148</v>
      </c>
      <c r="BN21" s="1458" t="s">
        <v>148</v>
      </c>
      <c r="BO21" s="1459" t="s">
        <v>148</v>
      </c>
      <c r="BP21" s="553">
        <v>9</v>
      </c>
      <c r="BQ21" s="1458">
        <v>750</v>
      </c>
      <c r="BR21" s="1458">
        <v>318</v>
      </c>
      <c r="BS21" s="1458">
        <v>195</v>
      </c>
      <c r="BT21" s="1458">
        <v>544</v>
      </c>
      <c r="BU21" s="1458">
        <v>415</v>
      </c>
      <c r="BV21" s="1459">
        <v>180</v>
      </c>
      <c r="BW21" s="553">
        <v>31</v>
      </c>
      <c r="BX21" s="1212">
        <v>564</v>
      </c>
      <c r="BY21" s="1458">
        <v>469</v>
      </c>
      <c r="BZ21" s="1430">
        <v>8</v>
      </c>
      <c r="CA21" s="559">
        <v>3</v>
      </c>
      <c r="CB21" s="559">
        <v>24</v>
      </c>
      <c r="CC21" s="550"/>
      <c r="CD21" s="553">
        <v>24</v>
      </c>
      <c r="CE21" s="1430" t="s">
        <v>153</v>
      </c>
      <c r="CF21" s="1553">
        <v>4406</v>
      </c>
      <c r="CG21" s="1430" t="s">
        <v>153</v>
      </c>
      <c r="CH21" s="560">
        <v>1248.2081442323492</v>
      </c>
      <c r="CI21" s="1430">
        <v>220</v>
      </c>
      <c r="CJ21" s="1459">
        <v>184</v>
      </c>
      <c r="CK21" s="553">
        <v>948</v>
      </c>
      <c r="CL21" s="1429">
        <v>268.56589213169929</v>
      </c>
      <c r="CM21" s="1430">
        <v>304</v>
      </c>
      <c r="CN21" s="1429">
        <v>86.122395789068122</v>
      </c>
      <c r="CO21" s="561">
        <v>1034</v>
      </c>
      <c r="CP21" s="1432">
        <v>292.92946462465932</v>
      </c>
      <c r="CQ21" s="544"/>
      <c r="CR21" s="562">
        <v>308</v>
      </c>
      <c r="CS21" s="562">
        <v>2647</v>
      </c>
      <c r="CT21" s="562">
        <v>95</v>
      </c>
      <c r="CU21" s="562">
        <v>1181</v>
      </c>
      <c r="CV21" s="562">
        <v>9710</v>
      </c>
      <c r="CW21" s="562">
        <v>2931</v>
      </c>
      <c r="CX21" s="562">
        <v>3761</v>
      </c>
    </row>
    <row r="22" spans="1:102" ht="15.75" customHeight="1">
      <c r="A22" s="860" t="s">
        <v>267</v>
      </c>
      <c r="B22" s="563">
        <v>11748</v>
      </c>
      <c r="C22" s="638">
        <v>19.399999999999999</v>
      </c>
      <c r="D22" s="1393">
        <v>9448</v>
      </c>
      <c r="E22" s="538"/>
      <c r="F22" s="627">
        <v>1</v>
      </c>
      <c r="G22" s="1555">
        <v>50</v>
      </c>
      <c r="H22" s="1555">
        <v>30</v>
      </c>
      <c r="I22" s="1555">
        <v>3142</v>
      </c>
      <c r="J22" s="1555">
        <v>4</v>
      </c>
      <c r="K22" s="1555">
        <v>99</v>
      </c>
      <c r="L22" s="1555" t="s">
        <v>153</v>
      </c>
      <c r="M22" s="1555" t="s">
        <v>153</v>
      </c>
      <c r="N22" s="1379">
        <v>114</v>
      </c>
      <c r="O22" s="1380">
        <v>5498</v>
      </c>
      <c r="P22" s="544">
        <v>1364</v>
      </c>
      <c r="Q22" s="1555">
        <v>2</v>
      </c>
      <c r="R22" s="1379">
        <v>80</v>
      </c>
      <c r="S22" s="1555">
        <v>10</v>
      </c>
      <c r="T22" s="1555">
        <v>7</v>
      </c>
      <c r="U22" s="1379">
        <v>909</v>
      </c>
      <c r="V22" s="1555">
        <v>3</v>
      </c>
      <c r="W22" s="1379">
        <v>154</v>
      </c>
      <c r="X22" s="1555" t="s">
        <v>153</v>
      </c>
      <c r="Y22" s="1379" t="s">
        <v>153</v>
      </c>
      <c r="Z22" s="1380" t="s">
        <v>153</v>
      </c>
      <c r="AA22" s="542"/>
      <c r="AB22" s="627">
        <v>138545</v>
      </c>
      <c r="AC22" s="1555">
        <v>24618</v>
      </c>
      <c r="AD22" s="1555">
        <v>38353819930</v>
      </c>
      <c r="AE22" s="1407">
        <v>97.02</v>
      </c>
      <c r="AF22" s="1380">
        <v>20</v>
      </c>
      <c r="AG22" s="544"/>
      <c r="AH22" s="563">
        <v>117837</v>
      </c>
      <c r="AI22" s="1452">
        <v>19.480603213124944</v>
      </c>
      <c r="AJ22" s="1393">
        <v>81039</v>
      </c>
      <c r="AK22" s="1452">
        <v>27.050871219707588</v>
      </c>
      <c r="AL22" s="1393">
        <v>336366</v>
      </c>
      <c r="AM22" s="1471">
        <v>92.22</v>
      </c>
      <c r="AN22" s="1474">
        <v>34.700000000000003</v>
      </c>
      <c r="AO22" s="1474">
        <v>20.3</v>
      </c>
      <c r="AP22" s="546"/>
      <c r="AQ22" s="563">
        <v>507</v>
      </c>
      <c r="AR22" s="550">
        <v>3.71</v>
      </c>
      <c r="AS22" s="1462">
        <v>8182</v>
      </c>
      <c r="AT22" s="1462">
        <v>59.86</v>
      </c>
      <c r="AU22" s="1393">
        <v>4682</v>
      </c>
      <c r="AV22" s="1393">
        <v>38.82</v>
      </c>
      <c r="AW22" s="1462">
        <v>1854</v>
      </c>
      <c r="AX22" s="1462">
        <v>20</v>
      </c>
      <c r="AY22" s="1393">
        <v>41</v>
      </c>
      <c r="AZ22" s="1462">
        <v>3034</v>
      </c>
      <c r="BA22" s="1462">
        <v>1367</v>
      </c>
      <c r="BB22" s="1462">
        <v>2528</v>
      </c>
      <c r="BC22" s="1451">
        <v>1292</v>
      </c>
      <c r="BD22" s="563">
        <v>91</v>
      </c>
      <c r="BE22" s="1462">
        <v>3779</v>
      </c>
      <c r="BF22" s="1462">
        <v>2507</v>
      </c>
      <c r="BG22" s="1462">
        <v>3439</v>
      </c>
      <c r="BH22" s="1462">
        <v>2501</v>
      </c>
      <c r="BI22" s="1393" t="s">
        <v>153</v>
      </c>
      <c r="BJ22" s="1462" t="s">
        <v>153</v>
      </c>
      <c r="BK22" s="1462" t="s">
        <v>153</v>
      </c>
      <c r="BL22" s="1462" t="s">
        <v>153</v>
      </c>
      <c r="BM22" s="1462" t="s">
        <v>153</v>
      </c>
      <c r="BN22" s="1462" t="s">
        <v>153</v>
      </c>
      <c r="BO22" s="1451" t="s">
        <v>153</v>
      </c>
      <c r="BP22" s="563">
        <v>4</v>
      </c>
      <c r="BQ22" s="1462">
        <v>873</v>
      </c>
      <c r="BR22" s="1462">
        <v>234</v>
      </c>
      <c r="BS22" s="1462">
        <v>140</v>
      </c>
      <c r="BT22" s="1462">
        <v>666</v>
      </c>
      <c r="BU22" s="1462">
        <v>239</v>
      </c>
      <c r="BV22" s="1451">
        <v>128</v>
      </c>
      <c r="BW22" s="563">
        <v>63</v>
      </c>
      <c r="BX22" s="550">
        <v>1108</v>
      </c>
      <c r="BY22" s="1462">
        <v>917</v>
      </c>
      <c r="BZ22" s="1393">
        <v>10</v>
      </c>
      <c r="CA22" s="1058">
        <v>3</v>
      </c>
      <c r="CB22" s="1058">
        <v>58</v>
      </c>
      <c r="CC22" s="550"/>
      <c r="CD22" s="563">
        <v>20</v>
      </c>
      <c r="CE22" s="1393">
        <v>1</v>
      </c>
      <c r="CF22" s="1578">
        <v>3397</v>
      </c>
      <c r="CG22" s="1393">
        <v>510</v>
      </c>
      <c r="CH22" s="1227">
        <v>561.5</v>
      </c>
      <c r="CI22" s="1393">
        <v>345</v>
      </c>
      <c r="CJ22" s="1451">
        <v>278</v>
      </c>
      <c r="CK22" s="563">
        <v>895</v>
      </c>
      <c r="CL22" s="1452">
        <v>147.9</v>
      </c>
      <c r="CM22" s="1393">
        <v>375</v>
      </c>
      <c r="CN22" s="1452">
        <v>61.9</v>
      </c>
      <c r="CO22" s="635">
        <v>1069</v>
      </c>
      <c r="CP22" s="1453">
        <v>176.7</v>
      </c>
      <c r="CQ22" s="544"/>
      <c r="CR22" s="1228">
        <v>421</v>
      </c>
      <c r="CS22" s="1228">
        <v>3388</v>
      </c>
      <c r="CT22" s="1228">
        <v>198</v>
      </c>
      <c r="CU22" s="1228">
        <v>2423</v>
      </c>
      <c r="CV22" s="1228">
        <v>17443</v>
      </c>
      <c r="CW22" s="1228">
        <v>4271</v>
      </c>
      <c r="CX22" s="1228">
        <v>5715</v>
      </c>
    </row>
    <row r="23" spans="1:102" ht="15.75" customHeight="1">
      <c r="A23" s="858" t="s">
        <v>178</v>
      </c>
      <c r="B23" s="553">
        <v>4454</v>
      </c>
      <c r="C23" s="521">
        <v>13</v>
      </c>
      <c r="D23" s="1430">
        <v>3526</v>
      </c>
      <c r="E23" s="538"/>
      <c r="F23" s="554">
        <v>1</v>
      </c>
      <c r="G23" s="1537">
        <v>49</v>
      </c>
      <c r="H23" s="1537">
        <v>14</v>
      </c>
      <c r="I23" s="1537">
        <v>1287</v>
      </c>
      <c r="J23" s="1537">
        <v>5</v>
      </c>
      <c r="K23" s="1537">
        <v>118</v>
      </c>
      <c r="L23" s="1537" t="s">
        <v>153</v>
      </c>
      <c r="M23" s="1537" t="s">
        <v>153</v>
      </c>
      <c r="N23" s="1539">
        <v>44</v>
      </c>
      <c r="O23" s="1431">
        <v>2317</v>
      </c>
      <c r="P23" s="556">
        <v>761</v>
      </c>
      <c r="Q23" s="1537">
        <v>2</v>
      </c>
      <c r="R23" s="1539">
        <v>105</v>
      </c>
      <c r="S23" s="1537">
        <v>4</v>
      </c>
      <c r="T23" s="1537">
        <v>7</v>
      </c>
      <c r="U23" s="1539">
        <v>799</v>
      </c>
      <c r="V23" s="1537" t="s">
        <v>153</v>
      </c>
      <c r="W23" s="1539" t="s">
        <v>153</v>
      </c>
      <c r="X23" s="1537" t="s">
        <v>153</v>
      </c>
      <c r="Y23" s="1539" t="s">
        <v>153</v>
      </c>
      <c r="Z23" s="1431" t="s">
        <v>153</v>
      </c>
      <c r="AA23" s="542"/>
      <c r="AB23" s="554">
        <v>87573</v>
      </c>
      <c r="AC23" s="1537">
        <v>14939</v>
      </c>
      <c r="AD23" s="1537">
        <v>20873453902</v>
      </c>
      <c r="AE23" s="1408">
        <v>97.61</v>
      </c>
      <c r="AF23" s="1431">
        <v>12</v>
      </c>
      <c r="AG23" s="544"/>
      <c r="AH23" s="553">
        <v>62777</v>
      </c>
      <c r="AI23" s="1429">
        <v>18.27</v>
      </c>
      <c r="AJ23" s="1430">
        <v>42839</v>
      </c>
      <c r="AK23" s="1429">
        <v>26.61</v>
      </c>
      <c r="AL23" s="1430">
        <v>368157</v>
      </c>
      <c r="AM23" s="1411">
        <v>91.8</v>
      </c>
      <c r="AN23" s="1429">
        <v>41.5</v>
      </c>
      <c r="AO23" s="558">
        <v>14.7</v>
      </c>
      <c r="AP23" s="546"/>
      <c r="AQ23" s="553">
        <v>777</v>
      </c>
      <c r="AR23" s="1212">
        <v>9.6</v>
      </c>
      <c r="AS23" s="1458">
        <v>3249</v>
      </c>
      <c r="AT23" s="1458">
        <v>40.5</v>
      </c>
      <c r="AU23" s="1430">
        <v>2983</v>
      </c>
      <c r="AV23" s="1430">
        <v>42.7</v>
      </c>
      <c r="AW23" s="1458">
        <v>1418</v>
      </c>
      <c r="AX23" s="1458">
        <v>17.600000000000001</v>
      </c>
      <c r="AY23" s="1430">
        <v>18</v>
      </c>
      <c r="AZ23" s="1458">
        <v>1450</v>
      </c>
      <c r="BA23" s="1458">
        <v>600</v>
      </c>
      <c r="BB23" s="1458">
        <v>1289</v>
      </c>
      <c r="BC23" s="1459">
        <v>586</v>
      </c>
      <c r="BD23" s="553">
        <v>24</v>
      </c>
      <c r="BE23" s="1458">
        <v>1187</v>
      </c>
      <c r="BF23" s="1458">
        <v>848</v>
      </c>
      <c r="BG23" s="1458">
        <v>1288</v>
      </c>
      <c r="BH23" s="1458">
        <v>867</v>
      </c>
      <c r="BI23" s="1430" t="s">
        <v>153</v>
      </c>
      <c r="BJ23" s="1430" t="s">
        <v>153</v>
      </c>
      <c r="BK23" s="1430" t="s">
        <v>153</v>
      </c>
      <c r="BL23" s="1430" t="s">
        <v>153</v>
      </c>
      <c r="BM23" s="1458" t="s">
        <v>153</v>
      </c>
      <c r="BN23" s="1458" t="s">
        <v>153</v>
      </c>
      <c r="BO23" s="1459" t="s">
        <v>153</v>
      </c>
      <c r="BP23" s="553">
        <v>9</v>
      </c>
      <c r="BQ23" s="1458">
        <v>1033</v>
      </c>
      <c r="BR23" s="1458">
        <v>598</v>
      </c>
      <c r="BS23" s="1458">
        <v>286</v>
      </c>
      <c r="BT23" s="1458">
        <v>690</v>
      </c>
      <c r="BU23" s="1458">
        <v>653</v>
      </c>
      <c r="BV23" s="1459">
        <v>272</v>
      </c>
      <c r="BW23" s="553">
        <v>66</v>
      </c>
      <c r="BX23" s="1212">
        <v>1139</v>
      </c>
      <c r="BY23" s="1458">
        <v>996</v>
      </c>
      <c r="BZ23" s="1430">
        <v>4</v>
      </c>
      <c r="CA23" s="559">
        <v>2</v>
      </c>
      <c r="CB23" s="559">
        <v>19</v>
      </c>
      <c r="CC23" s="550"/>
      <c r="CD23" s="553">
        <v>15</v>
      </c>
      <c r="CE23" s="1430">
        <v>1</v>
      </c>
      <c r="CF23" s="1553">
        <v>3282</v>
      </c>
      <c r="CG23" s="1430">
        <v>481</v>
      </c>
      <c r="CH23" s="560">
        <v>955.1</v>
      </c>
      <c r="CI23" s="1430">
        <v>202</v>
      </c>
      <c r="CJ23" s="1459">
        <v>171</v>
      </c>
      <c r="CK23" s="553">
        <v>855</v>
      </c>
      <c r="CL23" s="1429">
        <v>250.3</v>
      </c>
      <c r="CM23" s="1430">
        <v>263</v>
      </c>
      <c r="CN23" s="1429">
        <v>77</v>
      </c>
      <c r="CO23" s="561">
        <v>859</v>
      </c>
      <c r="CP23" s="1432">
        <v>251.4</v>
      </c>
      <c r="CQ23" s="544"/>
      <c r="CR23" s="562">
        <v>222</v>
      </c>
      <c r="CS23" s="562">
        <v>2545</v>
      </c>
      <c r="CT23" s="562">
        <v>92</v>
      </c>
      <c r="CU23" s="562">
        <v>1626</v>
      </c>
      <c r="CV23" s="562">
        <v>9553</v>
      </c>
      <c r="CW23" s="562">
        <v>2593</v>
      </c>
      <c r="CX23" s="562">
        <v>3838</v>
      </c>
    </row>
    <row r="24" spans="1:102" ht="15.75" customHeight="1">
      <c r="A24" s="860" t="s">
        <v>179</v>
      </c>
      <c r="B24" s="563">
        <v>9305</v>
      </c>
      <c r="C24" s="638">
        <v>14.39</v>
      </c>
      <c r="D24" s="1393">
        <v>7467</v>
      </c>
      <c r="E24" s="538"/>
      <c r="F24" s="627">
        <v>1</v>
      </c>
      <c r="G24" s="1555">
        <v>52</v>
      </c>
      <c r="H24" s="1555">
        <v>35</v>
      </c>
      <c r="I24" s="1555">
        <v>2476</v>
      </c>
      <c r="J24" s="1555">
        <v>3</v>
      </c>
      <c r="K24" s="1555">
        <v>78</v>
      </c>
      <c r="L24" s="1555">
        <v>1</v>
      </c>
      <c r="M24" s="1555">
        <v>100</v>
      </c>
      <c r="N24" s="1379">
        <v>86</v>
      </c>
      <c r="O24" s="1380">
        <v>4217</v>
      </c>
      <c r="P24" s="544">
        <v>1417</v>
      </c>
      <c r="Q24" s="1555">
        <v>7</v>
      </c>
      <c r="R24" s="1379">
        <v>308</v>
      </c>
      <c r="S24" s="1555">
        <v>5</v>
      </c>
      <c r="T24" s="1555">
        <v>16</v>
      </c>
      <c r="U24" s="1379">
        <v>1515</v>
      </c>
      <c r="V24" s="1555" t="s">
        <v>153</v>
      </c>
      <c r="W24" s="1379" t="s">
        <v>153</v>
      </c>
      <c r="X24" s="1555" t="s">
        <v>153</v>
      </c>
      <c r="Y24" s="1379" t="s">
        <v>153</v>
      </c>
      <c r="Z24" s="1380">
        <v>32</v>
      </c>
      <c r="AA24" s="542"/>
      <c r="AB24" s="627">
        <v>154903</v>
      </c>
      <c r="AC24" s="1555">
        <v>30805</v>
      </c>
      <c r="AD24" s="1555">
        <v>43180964876</v>
      </c>
      <c r="AE24" s="1407">
        <v>98.6</v>
      </c>
      <c r="AF24" s="1380">
        <v>14</v>
      </c>
      <c r="AG24" s="544"/>
      <c r="AH24" s="563">
        <v>107281</v>
      </c>
      <c r="AI24" s="1452">
        <v>16.600000000000001</v>
      </c>
      <c r="AJ24" s="1393">
        <v>75827</v>
      </c>
      <c r="AK24" s="1452">
        <v>23.9</v>
      </c>
      <c r="AL24" s="1393">
        <v>369400.2379918159</v>
      </c>
      <c r="AM24" s="1471">
        <v>91.6</v>
      </c>
      <c r="AN24" s="1452">
        <v>41.9</v>
      </c>
      <c r="AO24" s="1237">
        <v>30.2</v>
      </c>
      <c r="AP24" s="546"/>
      <c r="AQ24" s="563">
        <v>1260</v>
      </c>
      <c r="AR24" s="550">
        <v>8</v>
      </c>
      <c r="AS24" s="1462">
        <v>7658</v>
      </c>
      <c r="AT24" s="1462">
        <v>51.5</v>
      </c>
      <c r="AU24" s="1393">
        <v>5897</v>
      </c>
      <c r="AV24" s="1393">
        <v>45.2</v>
      </c>
      <c r="AW24" s="1462">
        <v>1183</v>
      </c>
      <c r="AX24" s="1462">
        <v>7.9</v>
      </c>
      <c r="AY24" s="1393">
        <v>27</v>
      </c>
      <c r="AZ24" s="1462">
        <v>2694</v>
      </c>
      <c r="BA24" s="1462">
        <v>1838</v>
      </c>
      <c r="BB24" s="1462">
        <v>2289</v>
      </c>
      <c r="BC24" s="1451">
        <v>1476</v>
      </c>
      <c r="BD24" s="563">
        <v>97</v>
      </c>
      <c r="BE24" s="1462">
        <v>5073</v>
      </c>
      <c r="BF24" s="1462">
        <v>3631</v>
      </c>
      <c r="BG24" s="1462">
        <v>4675</v>
      </c>
      <c r="BH24" s="1462">
        <v>3400</v>
      </c>
      <c r="BI24" s="1393" t="s">
        <v>153</v>
      </c>
      <c r="BJ24" s="1462" t="s">
        <v>153</v>
      </c>
      <c r="BK24" s="1462" t="s">
        <v>153</v>
      </c>
      <c r="BL24" s="1462" t="s">
        <v>153</v>
      </c>
      <c r="BM24" s="1462" t="s">
        <v>148</v>
      </c>
      <c r="BN24" s="1462" t="s">
        <v>148</v>
      </c>
      <c r="BO24" s="1451" t="s">
        <v>148</v>
      </c>
      <c r="BP24" s="563">
        <v>11</v>
      </c>
      <c r="BQ24" s="1462">
        <v>852</v>
      </c>
      <c r="BR24" s="1462">
        <v>536</v>
      </c>
      <c r="BS24" s="1462">
        <v>230</v>
      </c>
      <c r="BT24" s="1462">
        <v>542</v>
      </c>
      <c r="BU24" s="1462">
        <v>569</v>
      </c>
      <c r="BV24" s="1451">
        <v>222</v>
      </c>
      <c r="BW24" s="563">
        <v>35</v>
      </c>
      <c r="BX24" s="550">
        <v>589</v>
      </c>
      <c r="BY24" s="1462">
        <v>480</v>
      </c>
      <c r="BZ24" s="1393">
        <v>9</v>
      </c>
      <c r="CA24" s="1058">
        <v>21</v>
      </c>
      <c r="CB24" s="1058">
        <v>23</v>
      </c>
      <c r="CC24" s="550"/>
      <c r="CD24" s="563">
        <v>22</v>
      </c>
      <c r="CE24" s="1393">
        <v>2</v>
      </c>
      <c r="CF24" s="1560">
        <v>4613</v>
      </c>
      <c r="CG24" s="1393">
        <v>649</v>
      </c>
      <c r="CH24" s="1227">
        <v>712.3</v>
      </c>
      <c r="CI24" s="1393">
        <v>385</v>
      </c>
      <c r="CJ24" s="1451">
        <v>329</v>
      </c>
      <c r="CK24" s="563">
        <v>1002</v>
      </c>
      <c r="CL24" s="1452">
        <v>155.9</v>
      </c>
      <c r="CM24" s="1393">
        <v>486</v>
      </c>
      <c r="CN24" s="1452">
        <v>75.599999999999994</v>
      </c>
      <c r="CO24" s="635">
        <v>1672</v>
      </c>
      <c r="CP24" s="1453">
        <v>260.10000000000002</v>
      </c>
      <c r="CQ24" s="544"/>
      <c r="CR24" s="1228">
        <v>510</v>
      </c>
      <c r="CS24" s="1228">
        <v>4306</v>
      </c>
      <c r="CT24" s="1228">
        <v>152</v>
      </c>
      <c r="CU24" s="1228">
        <v>2234</v>
      </c>
      <c r="CV24" s="1228">
        <v>15476</v>
      </c>
      <c r="CW24" s="1228">
        <v>3948</v>
      </c>
      <c r="CX24" s="1228">
        <v>6730</v>
      </c>
    </row>
    <row r="25" spans="1:102" ht="15.75" customHeight="1">
      <c r="A25" s="858" t="s">
        <v>182</v>
      </c>
      <c r="B25" s="586">
        <v>4987</v>
      </c>
      <c r="C25" s="658">
        <v>11.5</v>
      </c>
      <c r="D25" s="1416">
        <v>4030</v>
      </c>
      <c r="E25" s="538"/>
      <c r="F25" s="576">
        <v>1</v>
      </c>
      <c r="G25" s="1536">
        <v>70</v>
      </c>
      <c r="H25" s="1536">
        <v>20</v>
      </c>
      <c r="I25" s="1536">
        <v>1465</v>
      </c>
      <c r="J25" s="1536">
        <v>6</v>
      </c>
      <c r="K25" s="1536">
        <v>163</v>
      </c>
      <c r="L25" s="1536">
        <v>4</v>
      </c>
      <c r="M25" s="1536">
        <v>200</v>
      </c>
      <c r="N25" s="1538">
        <v>80</v>
      </c>
      <c r="O25" s="1442">
        <v>4033</v>
      </c>
      <c r="P25" s="812">
        <v>1109</v>
      </c>
      <c r="Q25" s="1536">
        <v>4</v>
      </c>
      <c r="R25" s="1538">
        <v>200</v>
      </c>
      <c r="S25" s="1536">
        <v>3</v>
      </c>
      <c r="T25" s="1536">
        <v>9</v>
      </c>
      <c r="U25" s="1538">
        <v>920</v>
      </c>
      <c r="V25" s="1536">
        <v>1</v>
      </c>
      <c r="W25" s="1538">
        <v>19</v>
      </c>
      <c r="X25" s="1537" t="s">
        <v>153</v>
      </c>
      <c r="Y25" s="1539" t="s">
        <v>153</v>
      </c>
      <c r="Z25" s="1582" t="s">
        <v>153</v>
      </c>
      <c r="AA25" s="1241"/>
      <c r="AB25" s="576">
        <v>112105</v>
      </c>
      <c r="AC25" s="1536">
        <v>19166</v>
      </c>
      <c r="AD25" s="1536">
        <v>26328731705</v>
      </c>
      <c r="AE25" s="1540">
        <v>98.12</v>
      </c>
      <c r="AF25" s="1442">
        <v>12</v>
      </c>
      <c r="AG25" s="544"/>
      <c r="AH25" s="586">
        <v>80107</v>
      </c>
      <c r="AI25" s="1415">
        <v>18.45</v>
      </c>
      <c r="AJ25" s="1416">
        <v>54781</v>
      </c>
      <c r="AK25" s="1415">
        <v>26.806000000000001</v>
      </c>
      <c r="AL25" s="1416">
        <v>372222.67</v>
      </c>
      <c r="AM25" s="1418">
        <v>90.15</v>
      </c>
      <c r="AN25" s="1429">
        <v>44.2</v>
      </c>
      <c r="AO25" s="558">
        <v>23.4</v>
      </c>
      <c r="AP25" s="546"/>
      <c r="AQ25" s="586">
        <v>1910</v>
      </c>
      <c r="AR25" s="1212">
        <v>17.385763699000002</v>
      </c>
      <c r="AS25" s="1541">
        <v>5681</v>
      </c>
      <c r="AT25" s="1541">
        <v>51.711268887000003</v>
      </c>
      <c r="AU25" s="1416">
        <v>4082</v>
      </c>
      <c r="AV25" s="1416">
        <v>42.357580159000001</v>
      </c>
      <c r="AW25" s="1541">
        <v>860</v>
      </c>
      <c r="AX25" s="1541">
        <v>7.8281449117058077</v>
      </c>
      <c r="AY25" s="1416">
        <v>22</v>
      </c>
      <c r="AZ25" s="1541">
        <v>1851</v>
      </c>
      <c r="BA25" s="1541">
        <v>1060</v>
      </c>
      <c r="BB25" s="1541">
        <v>1791</v>
      </c>
      <c r="BC25" s="1542">
        <v>1120</v>
      </c>
      <c r="BD25" s="586">
        <v>53</v>
      </c>
      <c r="BE25" s="1541">
        <v>2308</v>
      </c>
      <c r="BF25" s="1541">
        <v>1931</v>
      </c>
      <c r="BG25" s="1541">
        <v>2437</v>
      </c>
      <c r="BH25" s="1541">
        <v>2047</v>
      </c>
      <c r="BI25" s="1583" t="s">
        <v>153</v>
      </c>
      <c r="BJ25" s="1583" t="s">
        <v>153</v>
      </c>
      <c r="BK25" s="1583" t="s">
        <v>153</v>
      </c>
      <c r="BL25" s="1584" t="s">
        <v>153</v>
      </c>
      <c r="BM25" s="1583" t="s">
        <v>153</v>
      </c>
      <c r="BN25" s="1583" t="s">
        <v>153</v>
      </c>
      <c r="BO25" s="1585" t="s">
        <v>153</v>
      </c>
      <c r="BP25" s="586">
        <v>17</v>
      </c>
      <c r="BQ25" s="1541">
        <v>1676</v>
      </c>
      <c r="BR25" s="1541">
        <v>1371</v>
      </c>
      <c r="BS25" s="1541">
        <v>565</v>
      </c>
      <c r="BT25" s="1541">
        <v>1484</v>
      </c>
      <c r="BU25" s="1541">
        <v>1425</v>
      </c>
      <c r="BV25" s="1542">
        <v>645</v>
      </c>
      <c r="BW25" s="586">
        <v>17</v>
      </c>
      <c r="BX25" s="1215">
        <v>309</v>
      </c>
      <c r="BY25" s="1541">
        <v>261</v>
      </c>
      <c r="BZ25" s="1416">
        <v>0</v>
      </c>
      <c r="CA25" s="1031">
        <v>4</v>
      </c>
      <c r="CB25" s="1031">
        <v>19</v>
      </c>
      <c r="CC25" s="550"/>
      <c r="CD25" s="586">
        <v>18</v>
      </c>
      <c r="CE25" s="1416">
        <v>1</v>
      </c>
      <c r="CF25" s="1553">
        <v>5200</v>
      </c>
      <c r="CG25" s="1416">
        <v>200</v>
      </c>
      <c r="CH25" s="560">
        <v>1197.7</v>
      </c>
      <c r="CI25" s="1416">
        <v>270</v>
      </c>
      <c r="CJ25" s="1459">
        <v>217</v>
      </c>
      <c r="CK25" s="586">
        <v>1181</v>
      </c>
      <c r="CL25" s="1415">
        <v>276.89999999999998</v>
      </c>
      <c r="CM25" s="1416">
        <v>318</v>
      </c>
      <c r="CN25" s="1415">
        <v>74.599999999999994</v>
      </c>
      <c r="CO25" s="649">
        <v>1126</v>
      </c>
      <c r="CP25" s="1443">
        <v>264</v>
      </c>
      <c r="CQ25" s="544"/>
      <c r="CR25" s="1231">
        <v>428</v>
      </c>
      <c r="CS25" s="1231">
        <v>2995</v>
      </c>
      <c r="CT25" s="1231">
        <v>179</v>
      </c>
      <c r="CU25" s="1231">
        <v>1720</v>
      </c>
      <c r="CV25" s="1231">
        <v>12297</v>
      </c>
      <c r="CW25" s="1231">
        <v>3135</v>
      </c>
      <c r="CX25" s="1231">
        <v>4336</v>
      </c>
    </row>
    <row r="26" spans="1:102" ht="15.75" customHeight="1">
      <c r="A26" s="860" t="s">
        <v>184</v>
      </c>
      <c r="B26" s="563">
        <v>10104</v>
      </c>
      <c r="C26" s="638">
        <v>18</v>
      </c>
      <c r="D26" s="1393">
        <v>8180</v>
      </c>
      <c r="E26" s="538"/>
      <c r="F26" s="690">
        <v>5</v>
      </c>
      <c r="G26" s="1554">
        <v>580</v>
      </c>
      <c r="H26" s="1554">
        <v>25</v>
      </c>
      <c r="I26" s="1554">
        <v>2497</v>
      </c>
      <c r="J26" s="1554">
        <v>3</v>
      </c>
      <c r="K26" s="1554">
        <v>87</v>
      </c>
      <c r="L26" s="1554" t="s">
        <v>153</v>
      </c>
      <c r="M26" s="1554" t="s">
        <v>153</v>
      </c>
      <c r="N26" s="1556">
        <v>74</v>
      </c>
      <c r="O26" s="1558">
        <v>4021</v>
      </c>
      <c r="P26" s="869">
        <v>1322</v>
      </c>
      <c r="Q26" s="1554" t="s">
        <v>153</v>
      </c>
      <c r="R26" s="1554" t="s">
        <v>153</v>
      </c>
      <c r="S26" s="1554">
        <v>2</v>
      </c>
      <c r="T26" s="1554">
        <v>8</v>
      </c>
      <c r="U26" s="1556">
        <v>935</v>
      </c>
      <c r="V26" s="1554">
        <v>3</v>
      </c>
      <c r="W26" s="1556">
        <v>621</v>
      </c>
      <c r="X26" s="1555" t="s">
        <v>153</v>
      </c>
      <c r="Y26" s="1379" t="s">
        <v>153</v>
      </c>
      <c r="Z26" s="1558" t="s">
        <v>148</v>
      </c>
      <c r="AA26" s="542"/>
      <c r="AB26" s="690">
        <v>154116</v>
      </c>
      <c r="AC26" s="1554">
        <v>30331</v>
      </c>
      <c r="AD26" s="1555">
        <v>39757294478</v>
      </c>
      <c r="AE26" s="1586">
        <v>97.5</v>
      </c>
      <c r="AF26" s="1558">
        <v>21</v>
      </c>
      <c r="AG26" s="544"/>
      <c r="AH26" s="1050">
        <v>114414</v>
      </c>
      <c r="AI26" s="1446">
        <v>20.399999999999999</v>
      </c>
      <c r="AJ26" s="1445">
        <v>79318</v>
      </c>
      <c r="AK26" s="1446">
        <v>28.3</v>
      </c>
      <c r="AL26" s="1445">
        <v>365953</v>
      </c>
      <c r="AM26" s="1587">
        <v>95.7</v>
      </c>
      <c r="AN26" s="1452">
        <v>45.6</v>
      </c>
      <c r="AO26" s="1237">
        <v>27.1</v>
      </c>
      <c r="AP26" s="546"/>
      <c r="AQ26" s="563">
        <v>1248</v>
      </c>
      <c r="AR26" s="1381">
        <v>12</v>
      </c>
      <c r="AS26" s="1462">
        <v>6303</v>
      </c>
      <c r="AT26" s="1476">
        <v>58</v>
      </c>
      <c r="AU26" s="1393">
        <v>4436</v>
      </c>
      <c r="AV26" s="1454">
        <v>50</v>
      </c>
      <c r="AW26" s="1462">
        <v>1296</v>
      </c>
      <c r="AX26" s="1476">
        <v>12</v>
      </c>
      <c r="AY26" s="1393">
        <v>15</v>
      </c>
      <c r="AZ26" s="1462">
        <v>724</v>
      </c>
      <c r="BA26" s="1462">
        <v>303</v>
      </c>
      <c r="BB26" s="1462">
        <v>712</v>
      </c>
      <c r="BC26" s="1451">
        <v>332</v>
      </c>
      <c r="BD26" s="563">
        <v>75</v>
      </c>
      <c r="BE26" s="1462">
        <v>4395</v>
      </c>
      <c r="BF26" s="1462">
        <v>3356</v>
      </c>
      <c r="BG26" s="1462">
        <v>4371</v>
      </c>
      <c r="BH26" s="1462">
        <v>3224</v>
      </c>
      <c r="BI26" s="1393" t="s">
        <v>153</v>
      </c>
      <c r="BJ26" s="1462" t="s">
        <v>153</v>
      </c>
      <c r="BK26" s="1462" t="s">
        <v>153</v>
      </c>
      <c r="BL26" s="1462" t="s">
        <v>153</v>
      </c>
      <c r="BM26" s="1462" t="s">
        <v>153</v>
      </c>
      <c r="BN26" s="1462" t="s">
        <v>153</v>
      </c>
      <c r="BO26" s="1451" t="s">
        <v>153</v>
      </c>
      <c r="BP26" s="563">
        <v>18</v>
      </c>
      <c r="BQ26" s="1462">
        <v>842</v>
      </c>
      <c r="BR26" s="1462">
        <v>1378</v>
      </c>
      <c r="BS26" s="1462">
        <v>743</v>
      </c>
      <c r="BT26" s="1462">
        <v>594</v>
      </c>
      <c r="BU26" s="1462">
        <v>1209</v>
      </c>
      <c r="BV26" s="1451">
        <v>649</v>
      </c>
      <c r="BW26" s="563">
        <v>27</v>
      </c>
      <c r="BX26" s="550">
        <v>275</v>
      </c>
      <c r="BY26" s="1462">
        <v>219</v>
      </c>
      <c r="BZ26" s="1393">
        <v>17</v>
      </c>
      <c r="CA26" s="1058">
        <v>12</v>
      </c>
      <c r="CB26" s="1058">
        <v>47</v>
      </c>
      <c r="CC26" s="550"/>
      <c r="CD26" s="1242">
        <v>35</v>
      </c>
      <c r="CE26" s="1243" t="s">
        <v>153</v>
      </c>
      <c r="CF26" s="1578">
        <v>8045</v>
      </c>
      <c r="CG26" s="1244" t="s">
        <v>153</v>
      </c>
      <c r="CH26" s="1245">
        <v>1433.9</v>
      </c>
      <c r="CI26" s="1243">
        <v>388</v>
      </c>
      <c r="CJ26" s="1246">
        <v>281</v>
      </c>
      <c r="CK26" s="1247">
        <v>1172</v>
      </c>
      <c r="CL26" s="1248">
        <v>202.3</v>
      </c>
      <c r="CM26" s="1249">
        <v>403</v>
      </c>
      <c r="CN26" s="1250">
        <v>69.599999999999994</v>
      </c>
      <c r="CO26" s="1251">
        <v>1608</v>
      </c>
      <c r="CP26" s="1252">
        <v>277.60000000000002</v>
      </c>
      <c r="CQ26" s="544"/>
      <c r="CR26" s="1236">
        <v>644</v>
      </c>
      <c r="CS26" s="1236">
        <v>5133</v>
      </c>
      <c r="CT26" s="1236">
        <v>132</v>
      </c>
      <c r="CU26" s="1236">
        <v>1970</v>
      </c>
      <c r="CV26" s="1236">
        <v>15564</v>
      </c>
      <c r="CW26" s="1236">
        <v>5068</v>
      </c>
      <c r="CX26" s="1236">
        <v>6986</v>
      </c>
    </row>
    <row r="27" spans="1:102" ht="15.75" customHeight="1">
      <c r="A27" s="858" t="s">
        <v>186</v>
      </c>
      <c r="B27" s="586">
        <v>5449</v>
      </c>
      <c r="C27" s="658">
        <v>14.485433486366572</v>
      </c>
      <c r="D27" s="1416">
        <v>4352</v>
      </c>
      <c r="E27" s="538"/>
      <c r="F27" s="576">
        <v>2</v>
      </c>
      <c r="G27" s="1536">
        <v>122</v>
      </c>
      <c r="H27" s="1536">
        <v>21</v>
      </c>
      <c r="I27" s="1536">
        <v>2200</v>
      </c>
      <c r="J27" s="1536" t="s">
        <v>148</v>
      </c>
      <c r="K27" s="1536" t="s">
        <v>148</v>
      </c>
      <c r="L27" s="1536">
        <v>3</v>
      </c>
      <c r="M27" s="1536">
        <v>170</v>
      </c>
      <c r="N27" s="1538">
        <v>52</v>
      </c>
      <c r="O27" s="1442">
        <v>2723</v>
      </c>
      <c r="P27" s="812">
        <v>950</v>
      </c>
      <c r="Q27" s="1536">
        <v>3</v>
      </c>
      <c r="R27" s="1538">
        <v>170</v>
      </c>
      <c r="S27" s="1536">
        <v>4</v>
      </c>
      <c r="T27" s="1536">
        <v>10</v>
      </c>
      <c r="U27" s="1538">
        <v>992</v>
      </c>
      <c r="V27" s="1536" t="s">
        <v>148</v>
      </c>
      <c r="W27" s="1536" t="s">
        <v>148</v>
      </c>
      <c r="X27" s="1536" t="s">
        <v>148</v>
      </c>
      <c r="Y27" s="1536" t="s">
        <v>148</v>
      </c>
      <c r="Z27" s="1442">
        <v>1</v>
      </c>
      <c r="AA27" s="542"/>
      <c r="AB27" s="799">
        <v>125468</v>
      </c>
      <c r="AC27" s="801">
        <v>24203</v>
      </c>
      <c r="AD27" s="801">
        <v>34380668249</v>
      </c>
      <c r="AE27" s="1253">
        <v>98.2</v>
      </c>
      <c r="AF27" s="871">
        <v>12</v>
      </c>
      <c r="AG27" s="544"/>
      <c r="AH27" s="586">
        <v>79634</v>
      </c>
      <c r="AI27" s="1415">
        <v>20.658131963630233</v>
      </c>
      <c r="AJ27" s="1416">
        <v>54667</v>
      </c>
      <c r="AK27" s="1415">
        <v>29.40856860044758</v>
      </c>
      <c r="AL27" s="1416">
        <v>426317.65105357009</v>
      </c>
      <c r="AM27" s="1418">
        <v>92</v>
      </c>
      <c r="AN27" s="1444">
        <v>28.3</v>
      </c>
      <c r="AO27" s="1254">
        <v>9.5</v>
      </c>
      <c r="AP27" s="1255"/>
      <c r="AQ27" s="586">
        <v>2900</v>
      </c>
      <c r="AR27" s="1212">
        <v>41.216600341102897</v>
      </c>
      <c r="AS27" s="1541">
        <v>2807</v>
      </c>
      <c r="AT27" s="1458">
        <v>39.89482660602615</v>
      </c>
      <c r="AU27" s="1416">
        <v>1871</v>
      </c>
      <c r="AV27" s="1430">
        <v>32.539130434782606</v>
      </c>
      <c r="AW27" s="1541">
        <v>720</v>
      </c>
      <c r="AX27" s="1458">
        <v>10.233086981239341</v>
      </c>
      <c r="AY27" s="1416">
        <v>8</v>
      </c>
      <c r="AZ27" s="1541">
        <v>487</v>
      </c>
      <c r="BA27" s="1541">
        <v>273</v>
      </c>
      <c r="BB27" s="1541">
        <v>406</v>
      </c>
      <c r="BC27" s="1542">
        <v>227</v>
      </c>
      <c r="BD27" s="586">
        <v>23</v>
      </c>
      <c r="BE27" s="1541">
        <v>973</v>
      </c>
      <c r="BF27" s="1541">
        <v>775</v>
      </c>
      <c r="BG27" s="1541">
        <v>998</v>
      </c>
      <c r="BH27" s="1541">
        <v>738</v>
      </c>
      <c r="BI27" s="1416">
        <v>1</v>
      </c>
      <c r="BJ27" s="1416">
        <v>9</v>
      </c>
      <c r="BK27" s="1416">
        <v>91</v>
      </c>
      <c r="BL27" s="1541">
        <v>50</v>
      </c>
      <c r="BM27" s="1416">
        <v>3</v>
      </c>
      <c r="BN27" s="1416">
        <v>77</v>
      </c>
      <c r="BO27" s="1031">
        <v>46</v>
      </c>
      <c r="BP27" s="586">
        <v>29</v>
      </c>
      <c r="BQ27" s="1541">
        <v>2016</v>
      </c>
      <c r="BR27" s="1541">
        <v>1384</v>
      </c>
      <c r="BS27" s="1541">
        <v>736</v>
      </c>
      <c r="BT27" s="1541">
        <v>1661</v>
      </c>
      <c r="BU27" s="1541">
        <v>1326</v>
      </c>
      <c r="BV27" s="1542">
        <v>755</v>
      </c>
      <c r="BW27" s="586">
        <v>17</v>
      </c>
      <c r="BX27" s="1215">
        <v>112</v>
      </c>
      <c r="BY27" s="1541">
        <v>105</v>
      </c>
      <c r="BZ27" s="1416">
        <v>10</v>
      </c>
      <c r="CA27" s="1432" t="s">
        <v>148</v>
      </c>
      <c r="CB27" s="1031">
        <v>6</v>
      </c>
      <c r="CC27" s="550"/>
      <c r="CD27" s="586">
        <v>12</v>
      </c>
      <c r="CE27" s="1416">
        <v>2</v>
      </c>
      <c r="CF27" s="1543">
        <v>3341</v>
      </c>
      <c r="CG27" s="1416">
        <v>899</v>
      </c>
      <c r="CH27" s="1230">
        <v>888.2</v>
      </c>
      <c r="CI27" s="1416">
        <v>315</v>
      </c>
      <c r="CJ27" s="1542">
        <v>219</v>
      </c>
      <c r="CK27" s="586">
        <v>884</v>
      </c>
      <c r="CL27" s="1415">
        <v>235</v>
      </c>
      <c r="CM27" s="1416">
        <v>531</v>
      </c>
      <c r="CN27" s="1415">
        <v>141.19999999999999</v>
      </c>
      <c r="CO27" s="649">
        <v>868</v>
      </c>
      <c r="CP27" s="1443">
        <v>230.7</v>
      </c>
      <c r="CQ27" s="544"/>
      <c r="CR27" s="1231">
        <v>306</v>
      </c>
      <c r="CS27" s="1231">
        <v>2735</v>
      </c>
      <c r="CT27" s="1231">
        <v>74</v>
      </c>
      <c r="CU27" s="1231">
        <v>1005</v>
      </c>
      <c r="CV27" s="1231">
        <v>12623</v>
      </c>
      <c r="CW27" s="1231">
        <v>3596</v>
      </c>
      <c r="CX27" s="1231">
        <v>4638</v>
      </c>
    </row>
    <row r="28" spans="1:102" ht="15.75" customHeight="1">
      <c r="A28" s="860" t="s">
        <v>187</v>
      </c>
      <c r="B28" s="563">
        <v>2636</v>
      </c>
      <c r="C28" s="638">
        <v>6.46</v>
      </c>
      <c r="D28" s="1393">
        <v>2257</v>
      </c>
      <c r="E28" s="538"/>
      <c r="F28" s="690">
        <v>2</v>
      </c>
      <c r="G28" s="1554">
        <v>180</v>
      </c>
      <c r="H28" s="1554">
        <v>26</v>
      </c>
      <c r="I28" s="1554">
        <v>1746</v>
      </c>
      <c r="J28" s="1554">
        <v>14</v>
      </c>
      <c r="K28" s="1554">
        <v>354</v>
      </c>
      <c r="L28" s="1554">
        <v>1</v>
      </c>
      <c r="M28" s="1554">
        <v>100</v>
      </c>
      <c r="N28" s="1556">
        <v>105</v>
      </c>
      <c r="O28" s="1558">
        <v>3022</v>
      </c>
      <c r="P28" s="869">
        <v>1426</v>
      </c>
      <c r="Q28" s="1554">
        <v>8</v>
      </c>
      <c r="R28" s="1556">
        <v>521</v>
      </c>
      <c r="S28" s="1554">
        <v>5</v>
      </c>
      <c r="T28" s="1554">
        <v>17</v>
      </c>
      <c r="U28" s="1556">
        <v>1683</v>
      </c>
      <c r="V28" s="1554">
        <v>10</v>
      </c>
      <c r="W28" s="1556">
        <v>832</v>
      </c>
      <c r="X28" s="1554">
        <v>1</v>
      </c>
      <c r="Y28" s="1556">
        <v>44</v>
      </c>
      <c r="Z28" s="1558">
        <v>2</v>
      </c>
      <c r="AA28" s="542"/>
      <c r="AB28" s="690">
        <v>122484</v>
      </c>
      <c r="AC28" s="1554">
        <v>24804</v>
      </c>
      <c r="AD28" s="1554">
        <v>37807999376</v>
      </c>
      <c r="AE28" s="1557">
        <v>98.66</v>
      </c>
      <c r="AF28" s="1558">
        <v>32</v>
      </c>
      <c r="AG28" s="544"/>
      <c r="AH28" s="1041">
        <v>64059</v>
      </c>
      <c r="AI28" s="1435">
        <v>15.718379946115983</v>
      </c>
      <c r="AJ28" s="1436">
        <v>44985</v>
      </c>
      <c r="AK28" s="1435">
        <v>24.438939322326711</v>
      </c>
      <c r="AL28" s="1436">
        <v>421660</v>
      </c>
      <c r="AM28" s="1438">
        <v>94.3</v>
      </c>
      <c r="AN28" s="1435">
        <v>32.1</v>
      </c>
      <c r="AO28" s="1256">
        <v>13.5</v>
      </c>
      <c r="AP28" s="546"/>
      <c r="AQ28" s="1041">
        <v>1819</v>
      </c>
      <c r="AR28" s="1238">
        <v>20.5</v>
      </c>
      <c r="AS28" s="1559">
        <v>6782</v>
      </c>
      <c r="AT28" s="1575">
        <v>76.599999999999994</v>
      </c>
      <c r="AU28" s="1436">
        <v>4275</v>
      </c>
      <c r="AV28" s="1576">
        <v>53.6</v>
      </c>
      <c r="AW28" s="1559">
        <v>393</v>
      </c>
      <c r="AX28" s="1575">
        <v>4.4000000000000004</v>
      </c>
      <c r="AY28" s="1436">
        <v>34</v>
      </c>
      <c r="AZ28" s="1559">
        <v>1680</v>
      </c>
      <c r="BA28" s="1559">
        <v>1035</v>
      </c>
      <c r="BB28" s="1559">
        <v>1377</v>
      </c>
      <c r="BC28" s="1577">
        <v>771</v>
      </c>
      <c r="BD28" s="1041">
        <v>1</v>
      </c>
      <c r="BE28" s="1559">
        <v>95</v>
      </c>
      <c r="BF28" s="1559">
        <v>70</v>
      </c>
      <c r="BG28" s="1559">
        <v>109</v>
      </c>
      <c r="BH28" s="1559">
        <v>54</v>
      </c>
      <c r="BI28" s="1436">
        <v>2</v>
      </c>
      <c r="BJ28" s="1559">
        <v>144</v>
      </c>
      <c r="BK28" s="1559">
        <v>199</v>
      </c>
      <c r="BL28" s="1559">
        <v>136</v>
      </c>
      <c r="BM28" s="1559">
        <v>76</v>
      </c>
      <c r="BN28" s="1559">
        <v>179</v>
      </c>
      <c r="BO28" s="1577">
        <v>117</v>
      </c>
      <c r="BP28" s="1041">
        <v>70</v>
      </c>
      <c r="BQ28" s="1559">
        <v>1962</v>
      </c>
      <c r="BR28" s="1559">
        <v>5762</v>
      </c>
      <c r="BS28" s="1559">
        <v>3659</v>
      </c>
      <c r="BT28" s="1559">
        <v>1319</v>
      </c>
      <c r="BU28" s="1559">
        <v>5021</v>
      </c>
      <c r="BV28" s="1577">
        <v>2996</v>
      </c>
      <c r="BW28" s="1041">
        <v>11</v>
      </c>
      <c r="BX28" s="1239">
        <v>247</v>
      </c>
      <c r="BY28" s="1559">
        <v>114</v>
      </c>
      <c r="BZ28" s="1393">
        <v>0</v>
      </c>
      <c r="CA28" s="844">
        <v>13</v>
      </c>
      <c r="CB28" s="844">
        <v>16</v>
      </c>
      <c r="CC28" s="550"/>
      <c r="CD28" s="1041">
        <v>46</v>
      </c>
      <c r="CE28" s="1436">
        <v>2</v>
      </c>
      <c r="CF28" s="1560">
        <v>6953</v>
      </c>
      <c r="CG28" s="1436">
        <v>595</v>
      </c>
      <c r="CH28" s="1240">
        <v>1706.1</v>
      </c>
      <c r="CI28" s="1436">
        <v>354</v>
      </c>
      <c r="CJ28" s="1577">
        <v>192</v>
      </c>
      <c r="CK28" s="1041">
        <v>1481</v>
      </c>
      <c r="CL28" s="1435">
        <v>363.4</v>
      </c>
      <c r="CM28" s="1436">
        <v>281</v>
      </c>
      <c r="CN28" s="1435">
        <v>68.900000000000006</v>
      </c>
      <c r="CO28" s="1042">
        <v>1458</v>
      </c>
      <c r="CP28" s="1439">
        <v>357.8</v>
      </c>
      <c r="CQ28" s="544"/>
      <c r="CR28" s="1236">
        <v>318</v>
      </c>
      <c r="CS28" s="1236">
        <v>3333</v>
      </c>
      <c r="CT28" s="1228">
        <v>134</v>
      </c>
      <c r="CU28" s="1236">
        <v>1426</v>
      </c>
      <c r="CV28" s="1236">
        <v>17437</v>
      </c>
      <c r="CW28" s="1236">
        <v>3295</v>
      </c>
      <c r="CX28" s="1236">
        <v>3825</v>
      </c>
    </row>
    <row r="29" spans="1:102" ht="15.75" customHeight="1">
      <c r="A29" s="858" t="s">
        <v>269</v>
      </c>
      <c r="B29" s="586">
        <v>4146</v>
      </c>
      <c r="C29" s="658">
        <v>9.0500000000000007</v>
      </c>
      <c r="D29" s="1416">
        <v>3677</v>
      </c>
      <c r="E29" s="538"/>
      <c r="F29" s="576">
        <v>2</v>
      </c>
      <c r="G29" s="1536">
        <v>240</v>
      </c>
      <c r="H29" s="1537">
        <v>20</v>
      </c>
      <c r="I29" s="1537">
        <v>1848</v>
      </c>
      <c r="J29" s="1537">
        <v>24</v>
      </c>
      <c r="K29" s="1537">
        <v>694</v>
      </c>
      <c r="L29" s="1536" t="s">
        <v>153</v>
      </c>
      <c r="M29" s="1536" t="s">
        <v>153</v>
      </c>
      <c r="N29" s="1537">
        <v>79</v>
      </c>
      <c r="O29" s="1431">
        <v>3234</v>
      </c>
      <c r="P29" s="640">
        <v>1622</v>
      </c>
      <c r="Q29" s="1536">
        <v>8</v>
      </c>
      <c r="R29" s="1538">
        <v>747</v>
      </c>
      <c r="S29" s="1536">
        <v>5</v>
      </c>
      <c r="T29" s="1537">
        <v>12</v>
      </c>
      <c r="U29" s="1537">
        <v>1429</v>
      </c>
      <c r="V29" s="1537">
        <v>5</v>
      </c>
      <c r="W29" s="1537">
        <v>304</v>
      </c>
      <c r="X29" s="1537" t="s">
        <v>153</v>
      </c>
      <c r="Y29" s="1537" t="s">
        <v>153</v>
      </c>
      <c r="Z29" s="1442">
        <v>15</v>
      </c>
      <c r="AA29" s="542"/>
      <c r="AB29" s="576">
        <v>121554</v>
      </c>
      <c r="AC29" s="1536">
        <v>24088</v>
      </c>
      <c r="AD29" s="1537">
        <v>36869491823</v>
      </c>
      <c r="AE29" s="1408">
        <v>98.2</v>
      </c>
      <c r="AF29" s="1442">
        <v>19</v>
      </c>
      <c r="AG29" s="544"/>
      <c r="AH29" s="586">
        <v>77435</v>
      </c>
      <c r="AI29" s="1415">
        <v>17.374261815440398</v>
      </c>
      <c r="AJ29" s="1416">
        <v>53628</v>
      </c>
      <c r="AK29" s="1415">
        <v>25.284776704888351</v>
      </c>
      <c r="AL29" s="1430">
        <v>459144</v>
      </c>
      <c r="AM29" s="1418">
        <v>93.5</v>
      </c>
      <c r="AN29" s="1415">
        <v>38.5</v>
      </c>
      <c r="AO29" s="1229">
        <v>21.7</v>
      </c>
      <c r="AP29" s="546"/>
      <c r="AQ29" s="586">
        <v>1666</v>
      </c>
      <c r="AR29" s="1257">
        <v>16</v>
      </c>
      <c r="AS29" s="1541">
        <v>7531</v>
      </c>
      <c r="AT29" s="1541">
        <v>73</v>
      </c>
      <c r="AU29" s="1416">
        <v>4651</v>
      </c>
      <c r="AV29" s="1416">
        <v>51</v>
      </c>
      <c r="AW29" s="1541">
        <v>946</v>
      </c>
      <c r="AX29" s="1541">
        <v>9</v>
      </c>
      <c r="AY29" s="1416">
        <v>13</v>
      </c>
      <c r="AZ29" s="1541">
        <v>735</v>
      </c>
      <c r="BA29" s="1541">
        <v>488</v>
      </c>
      <c r="BB29" s="1541">
        <v>540</v>
      </c>
      <c r="BC29" s="1542">
        <v>318</v>
      </c>
      <c r="BD29" s="586">
        <v>21</v>
      </c>
      <c r="BE29" s="1541">
        <v>1133</v>
      </c>
      <c r="BF29" s="1541">
        <v>873</v>
      </c>
      <c r="BG29" s="1541">
        <v>996</v>
      </c>
      <c r="BH29" s="1541">
        <v>659</v>
      </c>
      <c r="BI29" s="1536" t="s">
        <v>153</v>
      </c>
      <c r="BJ29" s="1536" t="s">
        <v>153</v>
      </c>
      <c r="BK29" s="1536" t="s">
        <v>153</v>
      </c>
      <c r="BL29" s="1538" t="s">
        <v>153</v>
      </c>
      <c r="BM29" s="1536" t="s">
        <v>153</v>
      </c>
      <c r="BN29" s="1536" t="s">
        <v>153</v>
      </c>
      <c r="BO29" s="1442" t="s">
        <v>153</v>
      </c>
      <c r="BP29" s="586">
        <v>105</v>
      </c>
      <c r="BQ29" s="1541">
        <v>2716</v>
      </c>
      <c r="BR29" s="1541">
        <v>6158</v>
      </c>
      <c r="BS29" s="1541">
        <v>4408</v>
      </c>
      <c r="BT29" s="1541">
        <v>1666</v>
      </c>
      <c r="BU29" s="1541">
        <v>5995</v>
      </c>
      <c r="BV29" s="1542">
        <v>3674</v>
      </c>
      <c r="BW29" s="586" t="s">
        <v>153</v>
      </c>
      <c r="BX29" s="1215" t="s">
        <v>153</v>
      </c>
      <c r="BY29" s="1541" t="s">
        <v>153</v>
      </c>
      <c r="BZ29" s="1430">
        <v>0</v>
      </c>
      <c r="CA29" s="1442">
        <v>32</v>
      </c>
      <c r="CB29" s="1442">
        <v>14</v>
      </c>
      <c r="CC29" s="550"/>
      <c r="CD29" s="586">
        <v>43</v>
      </c>
      <c r="CE29" s="1416">
        <v>1</v>
      </c>
      <c r="CF29" s="1543">
        <v>9302</v>
      </c>
      <c r="CG29" s="1416">
        <v>306</v>
      </c>
      <c r="CH29" s="1230">
        <v>2087.1</v>
      </c>
      <c r="CI29" s="1416">
        <v>424</v>
      </c>
      <c r="CJ29" s="1542">
        <v>229</v>
      </c>
      <c r="CK29" s="586">
        <v>1928</v>
      </c>
      <c r="CL29" s="1415">
        <v>416.2</v>
      </c>
      <c r="CM29" s="1416">
        <v>374</v>
      </c>
      <c r="CN29" s="1415">
        <v>80.7</v>
      </c>
      <c r="CO29" s="649">
        <v>1533</v>
      </c>
      <c r="CP29" s="1443">
        <v>330.9</v>
      </c>
      <c r="CQ29" s="544"/>
      <c r="CR29" s="1231">
        <v>474</v>
      </c>
      <c r="CS29" s="1231">
        <v>4137</v>
      </c>
      <c r="CT29" s="1231">
        <v>174</v>
      </c>
      <c r="CU29" s="1231">
        <v>1181</v>
      </c>
      <c r="CV29" s="1231">
        <v>14804</v>
      </c>
      <c r="CW29" s="1231">
        <v>3372</v>
      </c>
      <c r="CX29" s="1231">
        <v>5065</v>
      </c>
    </row>
    <row r="30" spans="1:102" ht="15.75" customHeight="1">
      <c r="A30" s="860" t="s">
        <v>270</v>
      </c>
      <c r="B30" s="563">
        <v>2616</v>
      </c>
      <c r="C30" s="638">
        <v>10.199999999999999</v>
      </c>
      <c r="D30" s="1393">
        <v>2162</v>
      </c>
      <c r="E30" s="538"/>
      <c r="F30" s="627">
        <v>1</v>
      </c>
      <c r="G30" s="1555">
        <v>100</v>
      </c>
      <c r="H30" s="1555">
        <v>21</v>
      </c>
      <c r="I30" s="1555">
        <v>1484</v>
      </c>
      <c r="J30" s="1555">
        <v>15</v>
      </c>
      <c r="K30" s="1555">
        <v>424</v>
      </c>
      <c r="L30" s="1555" t="s">
        <v>153</v>
      </c>
      <c r="M30" s="1555" t="s">
        <v>153</v>
      </c>
      <c r="N30" s="1379">
        <v>34</v>
      </c>
      <c r="O30" s="1380">
        <v>1102</v>
      </c>
      <c r="P30" s="544">
        <v>997</v>
      </c>
      <c r="Q30" s="1555">
        <v>9</v>
      </c>
      <c r="R30" s="1379">
        <v>434</v>
      </c>
      <c r="S30" s="1555">
        <v>1</v>
      </c>
      <c r="T30" s="1555">
        <v>9</v>
      </c>
      <c r="U30" s="1379">
        <v>992</v>
      </c>
      <c r="V30" s="1555">
        <v>1</v>
      </c>
      <c r="W30" s="1379">
        <v>100</v>
      </c>
      <c r="X30" s="1555">
        <v>2</v>
      </c>
      <c r="Y30" s="1379">
        <v>17</v>
      </c>
      <c r="Z30" s="1380" t="s">
        <v>153</v>
      </c>
      <c r="AA30" s="542"/>
      <c r="AB30" s="627">
        <v>76023</v>
      </c>
      <c r="AC30" s="1555">
        <v>13953</v>
      </c>
      <c r="AD30" s="1555">
        <v>23936102700</v>
      </c>
      <c r="AE30" s="1407">
        <v>98</v>
      </c>
      <c r="AF30" s="1380">
        <v>13</v>
      </c>
      <c r="AG30" s="544"/>
      <c r="AH30" s="563">
        <v>40026</v>
      </c>
      <c r="AI30" s="1452">
        <v>15.6</v>
      </c>
      <c r="AJ30" s="1393">
        <v>27582</v>
      </c>
      <c r="AK30" s="1452">
        <v>25.8</v>
      </c>
      <c r="AL30" s="1393">
        <v>452600</v>
      </c>
      <c r="AM30" s="1471">
        <v>96.4</v>
      </c>
      <c r="AN30" s="1452">
        <v>30.7</v>
      </c>
      <c r="AO30" s="1237">
        <v>11.6</v>
      </c>
      <c r="AP30" s="1258"/>
      <c r="AQ30" s="1041">
        <v>883</v>
      </c>
      <c r="AR30" s="1239">
        <v>14.748622014364457</v>
      </c>
      <c r="AS30" s="1559">
        <v>4838</v>
      </c>
      <c r="AT30" s="1559">
        <v>80.808418239518957</v>
      </c>
      <c r="AU30" s="1436">
        <v>3105</v>
      </c>
      <c r="AV30" s="1436">
        <v>57.351311414850393</v>
      </c>
      <c r="AW30" s="1462">
        <v>361</v>
      </c>
      <c r="AX30" s="1559">
        <v>5.0609654250876899</v>
      </c>
      <c r="AY30" s="1436">
        <v>19</v>
      </c>
      <c r="AZ30" s="1559">
        <v>1031</v>
      </c>
      <c r="BA30" s="1559">
        <v>604</v>
      </c>
      <c r="BB30" s="1559">
        <v>621</v>
      </c>
      <c r="BC30" s="1577">
        <v>327</v>
      </c>
      <c r="BD30" s="1041">
        <v>7</v>
      </c>
      <c r="BE30" s="1559">
        <v>339</v>
      </c>
      <c r="BF30" s="1559">
        <v>231</v>
      </c>
      <c r="BG30" s="1559">
        <v>313</v>
      </c>
      <c r="BH30" s="1559">
        <v>174</v>
      </c>
      <c r="BI30" s="1436">
        <v>8</v>
      </c>
      <c r="BJ30" s="1559">
        <v>90</v>
      </c>
      <c r="BK30" s="1559">
        <v>413</v>
      </c>
      <c r="BL30" s="1559">
        <v>237</v>
      </c>
      <c r="BM30" s="1559">
        <v>21</v>
      </c>
      <c r="BN30" s="1462">
        <v>241</v>
      </c>
      <c r="BO30" s="1451">
        <v>139</v>
      </c>
      <c r="BP30" s="563">
        <v>60</v>
      </c>
      <c r="BQ30" s="1462">
        <v>1222</v>
      </c>
      <c r="BR30" s="1462">
        <v>4118</v>
      </c>
      <c r="BS30" s="1462">
        <v>2903</v>
      </c>
      <c r="BT30" s="1462">
        <v>744</v>
      </c>
      <c r="BU30" s="1462">
        <v>3663</v>
      </c>
      <c r="BV30" s="1451">
        <v>2465</v>
      </c>
      <c r="BW30" s="563" t="s">
        <v>153</v>
      </c>
      <c r="BX30" s="550" t="s">
        <v>153</v>
      </c>
      <c r="BY30" s="1462" t="s">
        <v>153</v>
      </c>
      <c r="BZ30" s="1393">
        <v>0</v>
      </c>
      <c r="CA30" s="1058">
        <v>25</v>
      </c>
      <c r="CB30" s="1058">
        <v>11</v>
      </c>
      <c r="CC30" s="550"/>
      <c r="CD30" s="563">
        <v>27</v>
      </c>
      <c r="CE30" s="1393" t="s">
        <v>153</v>
      </c>
      <c r="CF30" s="1578">
        <v>5207</v>
      </c>
      <c r="CG30" s="1393" t="s">
        <v>153</v>
      </c>
      <c r="CH30" s="1227">
        <v>2030.5</v>
      </c>
      <c r="CI30" s="1393">
        <v>264</v>
      </c>
      <c r="CJ30" s="1451">
        <v>134</v>
      </c>
      <c r="CK30" s="563">
        <v>997</v>
      </c>
      <c r="CL30" s="1452">
        <v>388.8</v>
      </c>
      <c r="CM30" s="1393">
        <v>216</v>
      </c>
      <c r="CN30" s="1452">
        <v>84.2</v>
      </c>
      <c r="CO30" s="635">
        <v>680</v>
      </c>
      <c r="CP30" s="1453">
        <v>265.2</v>
      </c>
      <c r="CQ30" s="544"/>
      <c r="CR30" s="1228">
        <v>267</v>
      </c>
      <c r="CS30" s="1228">
        <v>2710</v>
      </c>
      <c r="CT30" s="1228">
        <v>100</v>
      </c>
      <c r="CU30" s="1228">
        <v>988</v>
      </c>
      <c r="CV30" s="1228">
        <v>9763</v>
      </c>
      <c r="CW30" s="1228">
        <v>2204</v>
      </c>
      <c r="CX30" s="1228">
        <v>3045</v>
      </c>
    </row>
    <row r="31" spans="1:102" ht="15.75" customHeight="1">
      <c r="A31" s="858" t="s">
        <v>271</v>
      </c>
      <c r="B31" s="586">
        <v>2753</v>
      </c>
      <c r="C31" s="658">
        <v>14.8</v>
      </c>
      <c r="D31" s="1416">
        <v>2338</v>
      </c>
      <c r="E31" s="538"/>
      <c r="F31" s="576">
        <v>3</v>
      </c>
      <c r="G31" s="1536">
        <v>220</v>
      </c>
      <c r="H31" s="1536">
        <v>12</v>
      </c>
      <c r="I31" s="1536">
        <v>767</v>
      </c>
      <c r="J31" s="1536">
        <v>17</v>
      </c>
      <c r="K31" s="1536">
        <v>475</v>
      </c>
      <c r="L31" s="1536">
        <v>5</v>
      </c>
      <c r="M31" s="1536">
        <v>250</v>
      </c>
      <c r="N31" s="1539">
        <v>35</v>
      </c>
      <c r="O31" s="1431">
        <v>843</v>
      </c>
      <c r="P31" s="556">
        <v>816</v>
      </c>
      <c r="Q31" s="1537">
        <v>4</v>
      </c>
      <c r="R31" s="1539">
        <v>200</v>
      </c>
      <c r="S31" s="1536">
        <v>5</v>
      </c>
      <c r="T31" s="1536">
        <v>5</v>
      </c>
      <c r="U31" s="1538">
        <v>481</v>
      </c>
      <c r="V31" s="1536">
        <v>2</v>
      </c>
      <c r="W31" s="1538">
        <v>120</v>
      </c>
      <c r="X31" s="1536" t="s">
        <v>153</v>
      </c>
      <c r="Y31" s="1538" t="s">
        <v>153</v>
      </c>
      <c r="Z31" s="1442" t="s">
        <v>153</v>
      </c>
      <c r="AA31" s="542"/>
      <c r="AB31" s="576">
        <v>54923</v>
      </c>
      <c r="AC31" s="1536">
        <v>11092</v>
      </c>
      <c r="AD31" s="1536">
        <v>19441390701</v>
      </c>
      <c r="AE31" s="1540">
        <v>98.05</v>
      </c>
      <c r="AF31" s="1442">
        <v>9</v>
      </c>
      <c r="AG31" s="544"/>
      <c r="AH31" s="586">
        <v>38119</v>
      </c>
      <c r="AI31" s="1415">
        <v>20.53</v>
      </c>
      <c r="AJ31" s="1416">
        <v>26169</v>
      </c>
      <c r="AK31" s="1415">
        <v>27.8</v>
      </c>
      <c r="AL31" s="1416">
        <v>392591.5</v>
      </c>
      <c r="AM31" s="1418">
        <v>93.524000000000001</v>
      </c>
      <c r="AN31" s="1429">
        <v>35.9</v>
      </c>
      <c r="AO31" s="558">
        <v>22.1</v>
      </c>
      <c r="AP31" s="546"/>
      <c r="AQ31" s="586">
        <v>1175</v>
      </c>
      <c r="AR31" s="1212">
        <v>29.8</v>
      </c>
      <c r="AS31" s="1541">
        <v>2479</v>
      </c>
      <c r="AT31" s="1541">
        <v>63</v>
      </c>
      <c r="AU31" s="1416">
        <v>1690</v>
      </c>
      <c r="AV31" s="1416">
        <v>47.2</v>
      </c>
      <c r="AW31" s="1541">
        <v>316</v>
      </c>
      <c r="AX31" s="1541">
        <v>8</v>
      </c>
      <c r="AY31" s="1416">
        <v>5</v>
      </c>
      <c r="AZ31" s="1541">
        <v>262</v>
      </c>
      <c r="BA31" s="1541">
        <v>173</v>
      </c>
      <c r="BB31" s="1541">
        <v>127</v>
      </c>
      <c r="BC31" s="1542">
        <v>67</v>
      </c>
      <c r="BD31" s="586">
        <v>14</v>
      </c>
      <c r="BE31" s="1541">
        <v>855</v>
      </c>
      <c r="BF31" s="1541">
        <v>635</v>
      </c>
      <c r="BG31" s="1541">
        <v>695</v>
      </c>
      <c r="BH31" s="1541">
        <v>461</v>
      </c>
      <c r="BI31" s="1536" t="s">
        <v>153</v>
      </c>
      <c r="BJ31" s="1536" t="s">
        <v>153</v>
      </c>
      <c r="BK31" s="1536" t="s">
        <v>153</v>
      </c>
      <c r="BL31" s="1538" t="s">
        <v>153</v>
      </c>
      <c r="BM31" s="1416" t="s">
        <v>153</v>
      </c>
      <c r="BN31" s="1416" t="s">
        <v>153</v>
      </c>
      <c r="BO31" s="1031" t="s">
        <v>153</v>
      </c>
      <c r="BP31" s="586">
        <v>34</v>
      </c>
      <c r="BQ31" s="1541">
        <v>1098</v>
      </c>
      <c r="BR31" s="1541">
        <v>1980</v>
      </c>
      <c r="BS31" s="1541">
        <v>1394</v>
      </c>
      <c r="BT31" s="1541">
        <v>654</v>
      </c>
      <c r="BU31" s="1541">
        <v>1568</v>
      </c>
      <c r="BV31" s="1542">
        <v>1061</v>
      </c>
      <c r="BW31" s="586">
        <v>7</v>
      </c>
      <c r="BX31" s="1215">
        <v>105</v>
      </c>
      <c r="BY31" s="1541">
        <v>47</v>
      </c>
      <c r="BZ31" s="1430">
        <v>0</v>
      </c>
      <c r="CA31" s="1031">
        <v>6</v>
      </c>
      <c r="CB31" s="1031">
        <v>15</v>
      </c>
      <c r="CC31" s="550"/>
      <c r="CD31" s="586">
        <v>14</v>
      </c>
      <c r="CE31" s="1416">
        <v>1</v>
      </c>
      <c r="CF31" s="1543">
        <v>3481</v>
      </c>
      <c r="CG31" s="1416">
        <v>399</v>
      </c>
      <c r="CH31" s="1230">
        <v>1875</v>
      </c>
      <c r="CI31" s="1416">
        <v>217</v>
      </c>
      <c r="CJ31" s="1542">
        <v>136</v>
      </c>
      <c r="CK31" s="586">
        <v>698</v>
      </c>
      <c r="CL31" s="1415">
        <v>375.9</v>
      </c>
      <c r="CM31" s="1416">
        <v>205</v>
      </c>
      <c r="CN31" s="1415">
        <v>110.4</v>
      </c>
      <c r="CO31" s="649">
        <v>631</v>
      </c>
      <c r="CP31" s="1443">
        <v>339.8</v>
      </c>
      <c r="CQ31" s="544"/>
      <c r="CR31" s="562">
        <v>288</v>
      </c>
      <c r="CS31" s="1231">
        <v>1826</v>
      </c>
      <c r="CT31" s="562">
        <v>84</v>
      </c>
      <c r="CU31" s="1231">
        <v>730</v>
      </c>
      <c r="CV31" s="1231">
        <v>8678</v>
      </c>
      <c r="CW31" s="1231">
        <v>1584</v>
      </c>
      <c r="CX31" s="1231">
        <v>2416</v>
      </c>
    </row>
    <row r="32" spans="1:102" ht="15.75" customHeight="1">
      <c r="A32" s="779" t="s">
        <v>193</v>
      </c>
      <c r="B32" s="563">
        <v>3180</v>
      </c>
      <c r="C32" s="638">
        <v>8.6999999999999993</v>
      </c>
      <c r="D32" s="1393">
        <v>2607</v>
      </c>
      <c r="E32" s="538"/>
      <c r="F32" s="627">
        <v>2</v>
      </c>
      <c r="G32" s="1555">
        <v>150</v>
      </c>
      <c r="H32" s="1554">
        <v>23</v>
      </c>
      <c r="I32" s="1554">
        <v>1685</v>
      </c>
      <c r="J32" s="1554">
        <v>22</v>
      </c>
      <c r="K32" s="1554">
        <v>609</v>
      </c>
      <c r="L32" s="1555">
        <v>1</v>
      </c>
      <c r="M32" s="1555">
        <v>50</v>
      </c>
      <c r="N32" s="1379">
        <v>87</v>
      </c>
      <c r="O32" s="1380">
        <v>2169</v>
      </c>
      <c r="P32" s="869">
        <v>1202</v>
      </c>
      <c r="Q32" s="1555">
        <v>8</v>
      </c>
      <c r="R32" s="1379">
        <v>319</v>
      </c>
      <c r="S32" s="1555">
        <v>11</v>
      </c>
      <c r="T32" s="1554">
        <v>13</v>
      </c>
      <c r="U32" s="1556">
        <v>1324</v>
      </c>
      <c r="V32" s="1554">
        <v>1</v>
      </c>
      <c r="W32" s="1556">
        <v>60</v>
      </c>
      <c r="X32" s="1554">
        <v>3</v>
      </c>
      <c r="Y32" s="1556">
        <v>191</v>
      </c>
      <c r="Z32" s="1558">
        <v>9</v>
      </c>
      <c r="AA32" s="542"/>
      <c r="AB32" s="1259">
        <v>111780</v>
      </c>
      <c r="AC32" s="1588">
        <v>20705</v>
      </c>
      <c r="AD32" s="1588">
        <v>30414267367</v>
      </c>
      <c r="AE32" s="1557">
        <v>98.8</v>
      </c>
      <c r="AF32" s="1589">
        <v>21</v>
      </c>
      <c r="AG32" s="1260"/>
      <c r="AH32" s="1050">
        <v>65293</v>
      </c>
      <c r="AI32" s="1446">
        <v>17.809999999999999</v>
      </c>
      <c r="AJ32" s="1445">
        <v>43881</v>
      </c>
      <c r="AK32" s="1446">
        <v>26.77</v>
      </c>
      <c r="AL32" s="1445">
        <v>407949</v>
      </c>
      <c r="AM32" s="1587">
        <v>94</v>
      </c>
      <c r="AN32" s="1446">
        <v>45.6</v>
      </c>
      <c r="AO32" s="1233">
        <v>45.2</v>
      </c>
      <c r="AP32" s="546"/>
      <c r="AQ32" s="563">
        <v>1257</v>
      </c>
      <c r="AR32" s="550">
        <v>17</v>
      </c>
      <c r="AS32" s="1462">
        <v>4818</v>
      </c>
      <c r="AT32" s="1462">
        <v>61</v>
      </c>
      <c r="AU32" s="1393">
        <v>2871</v>
      </c>
      <c r="AV32" s="1393">
        <v>40</v>
      </c>
      <c r="AW32" s="1462">
        <v>872</v>
      </c>
      <c r="AX32" s="1462">
        <v>11</v>
      </c>
      <c r="AY32" s="1393">
        <v>32</v>
      </c>
      <c r="AZ32" s="1462">
        <v>1822</v>
      </c>
      <c r="BA32" s="1462">
        <v>829</v>
      </c>
      <c r="BB32" s="1462">
        <v>1152</v>
      </c>
      <c r="BC32" s="1451">
        <v>615</v>
      </c>
      <c r="BD32" s="563">
        <v>34</v>
      </c>
      <c r="BE32" s="1462">
        <v>2488</v>
      </c>
      <c r="BF32" s="1462">
        <v>1467</v>
      </c>
      <c r="BG32" s="1462">
        <v>2200</v>
      </c>
      <c r="BH32" s="1462">
        <v>1330</v>
      </c>
      <c r="BI32" s="1393">
        <v>2</v>
      </c>
      <c r="BJ32" s="1462">
        <v>45</v>
      </c>
      <c r="BK32" s="1462">
        <v>101</v>
      </c>
      <c r="BL32" s="1462">
        <v>56</v>
      </c>
      <c r="BM32" s="1462">
        <v>22</v>
      </c>
      <c r="BN32" s="1462">
        <v>83</v>
      </c>
      <c r="BO32" s="1451">
        <v>49</v>
      </c>
      <c r="BP32" s="563">
        <v>20</v>
      </c>
      <c r="BQ32" s="1462">
        <v>877</v>
      </c>
      <c r="BR32" s="1462">
        <v>1408</v>
      </c>
      <c r="BS32" s="1462">
        <v>906</v>
      </c>
      <c r="BT32" s="1462">
        <v>835</v>
      </c>
      <c r="BU32" s="1462">
        <v>1383</v>
      </c>
      <c r="BV32" s="1451">
        <v>813</v>
      </c>
      <c r="BW32" s="563">
        <v>5</v>
      </c>
      <c r="BX32" s="550">
        <v>79</v>
      </c>
      <c r="BY32" s="1462">
        <v>64</v>
      </c>
      <c r="BZ32" s="1393">
        <v>3</v>
      </c>
      <c r="CA32" s="844">
        <v>34</v>
      </c>
      <c r="CB32" s="1058">
        <v>19</v>
      </c>
      <c r="CC32" s="550"/>
      <c r="CD32" s="1041">
        <v>24</v>
      </c>
      <c r="CE32" s="1393" t="s">
        <v>153</v>
      </c>
      <c r="CF32" s="1560">
        <v>5057</v>
      </c>
      <c r="CG32" s="1393" t="s">
        <v>153</v>
      </c>
      <c r="CH32" s="1240">
        <v>1379.4</v>
      </c>
      <c r="CI32" s="1436">
        <v>301</v>
      </c>
      <c r="CJ32" s="1577">
        <v>203</v>
      </c>
      <c r="CK32" s="1041">
        <v>1004</v>
      </c>
      <c r="CL32" s="1435">
        <v>273.8</v>
      </c>
      <c r="CM32" s="1436">
        <v>302</v>
      </c>
      <c r="CN32" s="1435">
        <v>82.3</v>
      </c>
      <c r="CO32" s="1042">
        <v>895</v>
      </c>
      <c r="CP32" s="1439">
        <v>244.1</v>
      </c>
      <c r="CQ32" s="544"/>
      <c r="CR32" s="1236">
        <v>377</v>
      </c>
      <c r="CS32" s="1236">
        <v>3356</v>
      </c>
      <c r="CT32" s="1236">
        <v>97</v>
      </c>
      <c r="CU32" s="1236">
        <v>1373</v>
      </c>
      <c r="CV32" s="1236">
        <v>14439</v>
      </c>
      <c r="CW32" s="1236">
        <v>3669</v>
      </c>
      <c r="CX32" s="1236">
        <v>4948</v>
      </c>
    </row>
    <row r="33" spans="1:102" ht="15.75" customHeight="1">
      <c r="A33" s="858" t="s">
        <v>359</v>
      </c>
      <c r="B33" s="586">
        <v>1884</v>
      </c>
      <c r="C33" s="658">
        <v>7.9</v>
      </c>
      <c r="D33" s="1416">
        <v>1602</v>
      </c>
      <c r="E33" s="538"/>
      <c r="F33" s="576">
        <v>2</v>
      </c>
      <c r="G33" s="1537">
        <v>200</v>
      </c>
      <c r="H33" s="1536">
        <v>10</v>
      </c>
      <c r="I33" s="1536">
        <v>782</v>
      </c>
      <c r="J33" s="1536">
        <v>4</v>
      </c>
      <c r="K33" s="1536">
        <v>116</v>
      </c>
      <c r="L33" s="1536" t="s">
        <v>148</v>
      </c>
      <c r="M33" s="1536" t="s">
        <v>148</v>
      </c>
      <c r="N33" s="1539">
        <v>71</v>
      </c>
      <c r="O33" s="1442">
        <v>2358</v>
      </c>
      <c r="P33" s="812">
        <v>726</v>
      </c>
      <c r="Q33" s="1536">
        <v>6</v>
      </c>
      <c r="R33" s="1538">
        <v>200</v>
      </c>
      <c r="S33" s="1536">
        <v>1</v>
      </c>
      <c r="T33" s="1536">
        <v>9</v>
      </c>
      <c r="U33" s="1538">
        <v>686</v>
      </c>
      <c r="V33" s="1536">
        <v>2</v>
      </c>
      <c r="W33" s="1538">
        <v>98</v>
      </c>
      <c r="X33" s="1536" t="s">
        <v>148</v>
      </c>
      <c r="Y33" s="1538" t="s">
        <v>148</v>
      </c>
      <c r="Z33" s="1442" t="s">
        <v>148</v>
      </c>
      <c r="AA33" s="542"/>
      <c r="AB33" s="576">
        <v>66992</v>
      </c>
      <c r="AC33" s="1536">
        <v>12594</v>
      </c>
      <c r="AD33" s="1536">
        <v>20100665730</v>
      </c>
      <c r="AE33" s="1540">
        <v>98.7</v>
      </c>
      <c r="AF33" s="1442">
        <v>12</v>
      </c>
      <c r="AG33" s="544"/>
      <c r="AH33" s="586">
        <v>43523</v>
      </c>
      <c r="AI33" s="1415">
        <v>18.5</v>
      </c>
      <c r="AJ33" s="1416">
        <v>28965</v>
      </c>
      <c r="AK33" s="1415">
        <v>26.7</v>
      </c>
      <c r="AL33" s="1416">
        <v>399210</v>
      </c>
      <c r="AM33" s="1411">
        <v>94</v>
      </c>
      <c r="AN33" s="1415">
        <v>42.8</v>
      </c>
      <c r="AO33" s="1229">
        <v>44.6</v>
      </c>
      <c r="AP33" s="546"/>
      <c r="AQ33" s="586">
        <v>1081</v>
      </c>
      <c r="AR33" s="1212">
        <f>ROUND(AQ33/5393*100,1)</f>
        <v>20</v>
      </c>
      <c r="AS33" s="1541">
        <v>3811</v>
      </c>
      <c r="AT33" s="1212">
        <f>ROUND(AS33/5393*100,1)</f>
        <v>70.7</v>
      </c>
      <c r="AU33" s="1416">
        <v>1550</v>
      </c>
      <c r="AV33" s="1212">
        <f>ROUND(AU33/4802*100,1)</f>
        <v>32.299999999999997</v>
      </c>
      <c r="AW33" s="1541">
        <f>346+6</f>
        <v>352</v>
      </c>
      <c r="AX33" s="1212">
        <f>ROUND(AW33/5393*100,1)</f>
        <v>6.5</v>
      </c>
      <c r="AY33" s="1416">
        <v>41</v>
      </c>
      <c r="AZ33" s="1541">
        <v>4402</v>
      </c>
      <c r="BA33" s="1541">
        <v>1299</v>
      </c>
      <c r="BB33" s="1541">
        <v>2841</v>
      </c>
      <c r="BC33" s="1542">
        <v>1007</v>
      </c>
      <c r="BD33" s="586">
        <v>3</v>
      </c>
      <c r="BE33" s="1541">
        <v>163</v>
      </c>
      <c r="BF33" s="1541">
        <v>102</v>
      </c>
      <c r="BG33" s="1541">
        <v>159</v>
      </c>
      <c r="BH33" s="1541">
        <v>99</v>
      </c>
      <c r="BI33" s="1536" t="s">
        <v>153</v>
      </c>
      <c r="BJ33" s="1536" t="s">
        <v>153</v>
      </c>
      <c r="BK33" s="1536" t="s">
        <v>153</v>
      </c>
      <c r="BL33" s="1538" t="s">
        <v>153</v>
      </c>
      <c r="BM33" s="1416" t="s">
        <v>153</v>
      </c>
      <c r="BN33" s="1416" t="s">
        <v>153</v>
      </c>
      <c r="BO33" s="1031" t="s">
        <v>153</v>
      </c>
      <c r="BP33" s="586">
        <v>15</v>
      </c>
      <c r="BQ33" s="1541">
        <v>615</v>
      </c>
      <c r="BR33" s="1541">
        <v>904</v>
      </c>
      <c r="BS33" s="1541">
        <v>348</v>
      </c>
      <c r="BT33" s="1541">
        <v>545</v>
      </c>
      <c r="BU33" s="1541">
        <v>796</v>
      </c>
      <c r="BV33" s="1542">
        <v>323</v>
      </c>
      <c r="BW33" s="586">
        <v>7</v>
      </c>
      <c r="BX33" s="1215">
        <v>128</v>
      </c>
      <c r="BY33" s="1541">
        <v>121</v>
      </c>
      <c r="BZ33" s="1416">
        <v>5</v>
      </c>
      <c r="CA33" s="1031">
        <v>27</v>
      </c>
      <c r="CB33" s="1031">
        <v>25</v>
      </c>
      <c r="CC33" s="550"/>
      <c r="CD33" s="586">
        <v>16</v>
      </c>
      <c r="CE33" s="1416">
        <v>1</v>
      </c>
      <c r="CF33" s="1543">
        <v>3678</v>
      </c>
      <c r="CG33" s="1416">
        <v>199</v>
      </c>
      <c r="CH33" s="1230">
        <v>1560.3</v>
      </c>
      <c r="CI33" s="1416">
        <v>240</v>
      </c>
      <c r="CJ33" s="1542">
        <v>141</v>
      </c>
      <c r="CK33" s="586">
        <v>1302</v>
      </c>
      <c r="CL33" s="1415">
        <v>552.4</v>
      </c>
      <c r="CM33" s="1416">
        <v>240</v>
      </c>
      <c r="CN33" s="1415">
        <v>101.8</v>
      </c>
      <c r="CO33" s="649">
        <v>814</v>
      </c>
      <c r="CP33" s="1443">
        <v>345.3</v>
      </c>
      <c r="CQ33" s="544"/>
      <c r="CR33" s="1231">
        <v>289</v>
      </c>
      <c r="CS33" s="1231">
        <v>1807</v>
      </c>
      <c r="CT33" s="1231">
        <v>60</v>
      </c>
      <c r="CU33" s="1231">
        <v>692</v>
      </c>
      <c r="CV33" s="1231">
        <v>9498</v>
      </c>
      <c r="CW33" s="1231">
        <v>2256</v>
      </c>
      <c r="CX33" s="1231">
        <v>3373</v>
      </c>
    </row>
    <row r="34" spans="1:102" ht="15.75" customHeight="1">
      <c r="A34" s="779" t="s">
        <v>196</v>
      </c>
      <c r="B34" s="563">
        <v>5716</v>
      </c>
      <c r="C34" s="638">
        <v>14.2</v>
      </c>
      <c r="D34" s="1393">
        <v>4869</v>
      </c>
      <c r="E34" s="538"/>
      <c r="F34" s="627">
        <v>2</v>
      </c>
      <c r="G34" s="1555">
        <v>200</v>
      </c>
      <c r="H34" s="1555">
        <v>20</v>
      </c>
      <c r="I34" s="1555">
        <v>1809</v>
      </c>
      <c r="J34" s="1555">
        <v>7</v>
      </c>
      <c r="K34" s="1555">
        <v>203</v>
      </c>
      <c r="L34" s="1555" t="s">
        <v>153</v>
      </c>
      <c r="M34" s="1379" t="s">
        <v>153</v>
      </c>
      <c r="N34" s="1379">
        <v>92</v>
      </c>
      <c r="O34" s="1380">
        <v>2626</v>
      </c>
      <c r="P34" s="544">
        <v>1757</v>
      </c>
      <c r="Q34" s="1555">
        <v>11</v>
      </c>
      <c r="R34" s="1379">
        <v>370</v>
      </c>
      <c r="S34" s="1555">
        <v>9</v>
      </c>
      <c r="T34" s="1555">
        <v>15</v>
      </c>
      <c r="U34" s="1379">
        <v>1168</v>
      </c>
      <c r="V34" s="1555">
        <v>3</v>
      </c>
      <c r="W34" s="1379">
        <v>112</v>
      </c>
      <c r="X34" s="1555" t="s">
        <v>153</v>
      </c>
      <c r="Y34" s="1379" t="s">
        <v>153</v>
      </c>
      <c r="Z34" s="1380" t="s">
        <v>153</v>
      </c>
      <c r="AA34" s="542"/>
      <c r="AB34" s="627">
        <v>116809</v>
      </c>
      <c r="AC34" s="1555">
        <v>24875</v>
      </c>
      <c r="AD34" s="1555">
        <v>38387954907</v>
      </c>
      <c r="AE34" s="1407">
        <v>97.21</v>
      </c>
      <c r="AF34" s="1380">
        <v>19</v>
      </c>
      <c r="AG34" s="544"/>
      <c r="AH34" s="563">
        <v>76695</v>
      </c>
      <c r="AI34" s="1452">
        <v>19.100000000000001</v>
      </c>
      <c r="AJ34" s="1393">
        <v>51084</v>
      </c>
      <c r="AK34" s="1452">
        <v>27.6</v>
      </c>
      <c r="AL34" s="1393">
        <v>449355</v>
      </c>
      <c r="AM34" s="1471">
        <v>92.2</v>
      </c>
      <c r="AN34" s="1452">
        <v>39</v>
      </c>
      <c r="AO34" s="1237">
        <v>19</v>
      </c>
      <c r="AP34" s="546"/>
      <c r="AQ34" s="563">
        <v>219</v>
      </c>
      <c r="AR34" s="550">
        <v>2.4700000000000002</v>
      </c>
      <c r="AS34" s="1462">
        <v>3229</v>
      </c>
      <c r="AT34" s="1462">
        <v>36.35</v>
      </c>
      <c r="AU34" s="1393">
        <v>2539</v>
      </c>
      <c r="AV34" s="1393">
        <v>32.68</v>
      </c>
      <c r="AW34" s="1462">
        <v>2143</v>
      </c>
      <c r="AX34" s="1462">
        <v>24</v>
      </c>
      <c r="AY34" s="1393">
        <v>14</v>
      </c>
      <c r="AZ34" s="1462">
        <v>834</v>
      </c>
      <c r="BA34" s="1462">
        <v>556</v>
      </c>
      <c r="BB34" s="1462">
        <v>846</v>
      </c>
      <c r="BC34" s="1451">
        <v>403</v>
      </c>
      <c r="BD34" s="563">
        <v>20</v>
      </c>
      <c r="BE34" s="1462">
        <v>1455</v>
      </c>
      <c r="BF34" s="1462">
        <v>867</v>
      </c>
      <c r="BG34" s="1462">
        <v>1354</v>
      </c>
      <c r="BH34" s="1462">
        <v>813</v>
      </c>
      <c r="BI34" s="1393" t="s">
        <v>153</v>
      </c>
      <c r="BJ34" s="1462" t="s">
        <v>153</v>
      </c>
      <c r="BK34" s="1462" t="s">
        <v>153</v>
      </c>
      <c r="BL34" s="1462" t="s">
        <v>153</v>
      </c>
      <c r="BM34" s="1462" t="s">
        <v>153</v>
      </c>
      <c r="BN34" s="1462" t="s">
        <v>153</v>
      </c>
      <c r="BO34" s="1462" t="s">
        <v>153</v>
      </c>
      <c r="BP34" s="563">
        <v>17</v>
      </c>
      <c r="BQ34" s="1462">
        <v>308</v>
      </c>
      <c r="BR34" s="1462">
        <v>1256</v>
      </c>
      <c r="BS34" s="1462">
        <v>858</v>
      </c>
      <c r="BT34" s="1462">
        <v>192</v>
      </c>
      <c r="BU34" s="1462">
        <v>1235</v>
      </c>
      <c r="BV34" s="1451">
        <v>772</v>
      </c>
      <c r="BW34" s="563">
        <v>31</v>
      </c>
      <c r="BX34" s="550">
        <v>536</v>
      </c>
      <c r="BY34" s="1462">
        <v>531</v>
      </c>
      <c r="BZ34" s="1393">
        <v>0</v>
      </c>
      <c r="CA34" s="1058">
        <v>13</v>
      </c>
      <c r="CB34" s="1058">
        <v>6</v>
      </c>
      <c r="CC34" s="550"/>
      <c r="CD34" s="1261">
        <v>31</v>
      </c>
      <c r="CE34" s="1393">
        <v>1</v>
      </c>
      <c r="CF34" s="1578">
        <v>6722</v>
      </c>
      <c r="CG34" s="1393">
        <v>565</v>
      </c>
      <c r="CH34" s="1227">
        <f>6722/4.01</f>
        <v>1676.3092269326685</v>
      </c>
      <c r="CI34" s="1393">
        <v>410</v>
      </c>
      <c r="CJ34" s="1451">
        <v>252</v>
      </c>
      <c r="CK34" s="563">
        <v>1736</v>
      </c>
      <c r="CL34" s="1452">
        <f>1736/4.01</f>
        <v>432.91770573566089</v>
      </c>
      <c r="CM34" s="1393">
        <v>467</v>
      </c>
      <c r="CN34" s="1452">
        <f>467/4.01</f>
        <v>116.45885286783043</v>
      </c>
      <c r="CO34" s="635">
        <v>1385</v>
      </c>
      <c r="CP34" s="1453">
        <f>1385/4.01</f>
        <v>345.38653366583543</v>
      </c>
      <c r="CQ34" s="544"/>
      <c r="CR34" s="1228">
        <v>452</v>
      </c>
      <c r="CS34" s="1228">
        <v>5433</v>
      </c>
      <c r="CT34" s="1228">
        <v>176</v>
      </c>
      <c r="CU34" s="1228">
        <v>1862</v>
      </c>
      <c r="CV34" s="1228">
        <v>15837</v>
      </c>
      <c r="CW34" s="1228">
        <v>4491</v>
      </c>
      <c r="CX34" s="1228">
        <v>5275</v>
      </c>
    </row>
    <row r="35" spans="1:102" ht="15.75" customHeight="1">
      <c r="A35" s="795" t="s">
        <v>197</v>
      </c>
      <c r="B35" s="553">
        <v>2538</v>
      </c>
      <c r="C35" s="521">
        <v>6.9</v>
      </c>
      <c r="D35" s="1430">
        <v>2061</v>
      </c>
      <c r="E35" s="538"/>
      <c r="F35" s="554">
        <v>1</v>
      </c>
      <c r="G35" s="1537">
        <v>60</v>
      </c>
      <c r="H35" s="1537">
        <v>9</v>
      </c>
      <c r="I35" s="1537">
        <v>762</v>
      </c>
      <c r="J35" s="1537">
        <v>12</v>
      </c>
      <c r="K35" s="1537">
        <v>348</v>
      </c>
      <c r="L35" s="1537">
        <v>1</v>
      </c>
      <c r="M35" s="1537">
        <v>100</v>
      </c>
      <c r="N35" s="1539">
        <v>41</v>
      </c>
      <c r="O35" s="1431">
        <v>1464</v>
      </c>
      <c r="P35" s="556">
        <v>778</v>
      </c>
      <c r="Q35" s="1537">
        <v>6</v>
      </c>
      <c r="R35" s="1539">
        <v>151</v>
      </c>
      <c r="S35" s="1537">
        <v>5</v>
      </c>
      <c r="T35" s="1537">
        <v>7</v>
      </c>
      <c r="U35" s="1539">
        <v>736</v>
      </c>
      <c r="V35" s="1537">
        <v>2</v>
      </c>
      <c r="W35" s="1539">
        <v>343</v>
      </c>
      <c r="X35" s="1537">
        <v>1</v>
      </c>
      <c r="Y35" s="1539">
        <v>22</v>
      </c>
      <c r="Z35" s="1431">
        <v>3</v>
      </c>
      <c r="AA35" s="542"/>
      <c r="AB35" s="554">
        <v>97271</v>
      </c>
      <c r="AC35" s="1537">
        <v>14700</v>
      </c>
      <c r="AD35" s="1537">
        <v>20955537050</v>
      </c>
      <c r="AE35" s="1408">
        <v>99.07</v>
      </c>
      <c r="AF35" s="1431">
        <v>18</v>
      </c>
      <c r="AG35" s="544"/>
      <c r="AH35" s="553">
        <v>68181</v>
      </c>
      <c r="AI35" s="1429">
        <v>18.460999999999999</v>
      </c>
      <c r="AJ35" s="1430">
        <v>44248</v>
      </c>
      <c r="AK35" s="1429">
        <v>26.989000000000001</v>
      </c>
      <c r="AL35" s="1430">
        <v>377849.20843050117</v>
      </c>
      <c r="AM35" s="1411">
        <v>94.5</v>
      </c>
      <c r="AN35" s="1429">
        <v>38.200000000000003</v>
      </c>
      <c r="AO35" s="558">
        <v>17.2</v>
      </c>
      <c r="AP35" s="546"/>
      <c r="AQ35" s="553">
        <v>1207</v>
      </c>
      <c r="AR35" s="1212">
        <v>13.9</v>
      </c>
      <c r="AS35" s="1458">
        <v>5277</v>
      </c>
      <c r="AT35" s="1458">
        <v>61</v>
      </c>
      <c r="AU35" s="1430">
        <v>2848</v>
      </c>
      <c r="AV35" s="1430">
        <v>37.799999999999997</v>
      </c>
      <c r="AW35" s="1458">
        <v>528</v>
      </c>
      <c r="AX35" s="1458">
        <v>6.11</v>
      </c>
      <c r="AY35" s="1430">
        <v>4</v>
      </c>
      <c r="AZ35" s="1458">
        <v>270</v>
      </c>
      <c r="BA35" s="1458">
        <v>240</v>
      </c>
      <c r="BB35" s="1458">
        <v>240</v>
      </c>
      <c r="BC35" s="1459">
        <v>189</v>
      </c>
      <c r="BD35" s="553">
        <v>37</v>
      </c>
      <c r="BE35" s="1458">
        <v>3570</v>
      </c>
      <c r="BF35" s="1458">
        <v>2272</v>
      </c>
      <c r="BG35" s="1458">
        <v>3156</v>
      </c>
      <c r="BH35" s="1458">
        <v>1645</v>
      </c>
      <c r="BI35" s="1430">
        <v>1</v>
      </c>
      <c r="BJ35" s="1458">
        <v>15</v>
      </c>
      <c r="BK35" s="1458">
        <v>90</v>
      </c>
      <c r="BL35" s="1458">
        <v>60</v>
      </c>
      <c r="BM35" s="1458">
        <v>16</v>
      </c>
      <c r="BN35" s="1458">
        <v>94</v>
      </c>
      <c r="BO35" s="1459">
        <v>47</v>
      </c>
      <c r="BP35" s="553">
        <v>22</v>
      </c>
      <c r="BQ35" s="1458">
        <v>1375</v>
      </c>
      <c r="BR35" s="1458">
        <v>2043</v>
      </c>
      <c r="BS35" s="1458">
        <v>1197</v>
      </c>
      <c r="BT35" s="1458">
        <v>1089</v>
      </c>
      <c r="BU35" s="1458">
        <v>1787</v>
      </c>
      <c r="BV35" s="1459">
        <v>967</v>
      </c>
      <c r="BW35" s="553">
        <v>0</v>
      </c>
      <c r="BX35" s="1212">
        <v>0</v>
      </c>
      <c r="BY35" s="1458">
        <v>0</v>
      </c>
      <c r="BZ35" s="1430">
        <v>0</v>
      </c>
      <c r="CA35" s="559">
        <v>1</v>
      </c>
      <c r="CB35" s="559">
        <v>11</v>
      </c>
      <c r="CC35" s="550"/>
      <c r="CD35" s="553">
        <v>21</v>
      </c>
      <c r="CE35" s="1430">
        <v>1</v>
      </c>
      <c r="CF35" s="1553">
        <v>4925</v>
      </c>
      <c r="CG35" s="1430">
        <v>800</v>
      </c>
      <c r="CH35" s="560">
        <v>1333.5</v>
      </c>
      <c r="CI35" s="1430">
        <v>257</v>
      </c>
      <c r="CJ35" s="1459">
        <v>179</v>
      </c>
      <c r="CK35" s="553">
        <v>795</v>
      </c>
      <c r="CL35" s="1429">
        <v>215.3</v>
      </c>
      <c r="CM35" s="1430">
        <v>272</v>
      </c>
      <c r="CN35" s="1429">
        <v>73.599999999999994</v>
      </c>
      <c r="CO35" s="561">
        <v>716</v>
      </c>
      <c r="CP35" s="1432">
        <v>193.9</v>
      </c>
      <c r="CQ35" s="544"/>
      <c r="CR35" s="562">
        <v>391</v>
      </c>
      <c r="CS35" s="562">
        <v>3223</v>
      </c>
      <c r="CT35" s="562">
        <v>143</v>
      </c>
      <c r="CU35" s="562">
        <v>1316</v>
      </c>
      <c r="CV35" s="562">
        <v>11253</v>
      </c>
      <c r="CW35" s="562">
        <v>3257</v>
      </c>
      <c r="CX35" s="562">
        <v>4679</v>
      </c>
    </row>
    <row r="36" spans="1:102" ht="15.75" customHeight="1">
      <c r="A36" s="779" t="s">
        <v>198</v>
      </c>
      <c r="B36" s="563">
        <v>2406</v>
      </c>
      <c r="C36" s="638">
        <v>6.27</v>
      </c>
      <c r="D36" s="1393">
        <v>1925</v>
      </c>
      <c r="E36" s="538"/>
      <c r="F36" s="627">
        <v>1</v>
      </c>
      <c r="G36" s="1555">
        <v>70</v>
      </c>
      <c r="H36" s="1555">
        <v>8</v>
      </c>
      <c r="I36" s="1555">
        <v>720</v>
      </c>
      <c r="J36" s="1555">
        <v>16</v>
      </c>
      <c r="K36" s="1555">
        <v>464</v>
      </c>
      <c r="L36" s="1555" t="s">
        <v>153</v>
      </c>
      <c r="M36" s="1555" t="s">
        <v>153</v>
      </c>
      <c r="N36" s="1379">
        <v>47</v>
      </c>
      <c r="O36" s="1380">
        <v>1593</v>
      </c>
      <c r="P36" s="544">
        <v>819</v>
      </c>
      <c r="Q36" s="1555">
        <v>5</v>
      </c>
      <c r="R36" s="1379">
        <v>170</v>
      </c>
      <c r="S36" s="1555">
        <v>6</v>
      </c>
      <c r="T36" s="1555">
        <v>7</v>
      </c>
      <c r="U36" s="1379">
        <v>806</v>
      </c>
      <c r="V36" s="1555">
        <v>1</v>
      </c>
      <c r="W36" s="1379">
        <v>107</v>
      </c>
      <c r="X36" s="1555" t="s">
        <v>153</v>
      </c>
      <c r="Y36" s="1379" t="s">
        <v>153</v>
      </c>
      <c r="Z36" s="1380" t="s">
        <v>153</v>
      </c>
      <c r="AA36" s="542"/>
      <c r="AB36" s="627">
        <v>93209</v>
      </c>
      <c r="AC36" s="1555">
        <v>15630</v>
      </c>
      <c r="AD36" s="1555">
        <v>21704796768</v>
      </c>
      <c r="AE36" s="1407">
        <v>98.74</v>
      </c>
      <c r="AF36" s="1380">
        <v>20</v>
      </c>
      <c r="AG36" s="544"/>
      <c r="AH36" s="563">
        <v>65325</v>
      </c>
      <c r="AI36" s="1452">
        <v>17.02</v>
      </c>
      <c r="AJ36" s="1393">
        <v>42888</v>
      </c>
      <c r="AK36" s="1452">
        <v>25.45</v>
      </c>
      <c r="AL36" s="1393">
        <v>369900</v>
      </c>
      <c r="AM36" s="1471">
        <v>94.07</v>
      </c>
      <c r="AN36" s="1452">
        <v>46</v>
      </c>
      <c r="AO36" s="845">
        <v>23.5</v>
      </c>
      <c r="AP36" s="1262"/>
      <c r="AQ36" s="563">
        <v>411</v>
      </c>
      <c r="AR36" s="550">
        <v>4</v>
      </c>
      <c r="AS36" s="1462">
        <v>4870</v>
      </c>
      <c r="AT36" s="1462">
        <v>50</v>
      </c>
      <c r="AU36" s="1393">
        <v>2213</v>
      </c>
      <c r="AV36" s="1393">
        <v>26</v>
      </c>
      <c r="AW36" s="1462">
        <v>688</v>
      </c>
      <c r="AX36" s="1462">
        <v>7.1147880041365047E-2</v>
      </c>
      <c r="AY36" s="1393">
        <v>31</v>
      </c>
      <c r="AZ36" s="1462">
        <v>3217</v>
      </c>
      <c r="BA36" s="1462">
        <v>1613</v>
      </c>
      <c r="BB36" s="1462">
        <v>2626</v>
      </c>
      <c r="BC36" s="1451">
        <v>1201</v>
      </c>
      <c r="BD36" s="563">
        <v>20</v>
      </c>
      <c r="BE36" s="1462">
        <v>2213</v>
      </c>
      <c r="BF36" s="1462">
        <v>1121</v>
      </c>
      <c r="BG36" s="1462">
        <v>1933</v>
      </c>
      <c r="BH36" s="1462">
        <v>936</v>
      </c>
      <c r="BI36" s="1393">
        <v>5</v>
      </c>
      <c r="BJ36" s="1462">
        <v>400</v>
      </c>
      <c r="BK36" s="1462">
        <v>306</v>
      </c>
      <c r="BL36" s="1462">
        <v>54</v>
      </c>
      <c r="BM36" s="1462">
        <v>256</v>
      </c>
      <c r="BN36" s="1462">
        <v>219</v>
      </c>
      <c r="BO36" s="1451">
        <v>0</v>
      </c>
      <c r="BP36" s="563">
        <v>2</v>
      </c>
      <c r="BQ36" s="1462">
        <v>205</v>
      </c>
      <c r="BR36" s="1462">
        <v>120</v>
      </c>
      <c r="BS36" s="1462">
        <v>60</v>
      </c>
      <c r="BT36" s="1462">
        <v>155</v>
      </c>
      <c r="BU36" s="1462">
        <v>92</v>
      </c>
      <c r="BV36" s="1451">
        <v>37</v>
      </c>
      <c r="BW36" s="563" t="s">
        <v>153</v>
      </c>
      <c r="BX36" s="550" t="s">
        <v>153</v>
      </c>
      <c r="BY36" s="1462" t="s">
        <v>153</v>
      </c>
      <c r="BZ36" s="1393">
        <v>39</v>
      </c>
      <c r="CA36" s="1058" t="s">
        <v>153</v>
      </c>
      <c r="CB36" s="1058">
        <v>12</v>
      </c>
      <c r="CC36" s="550"/>
      <c r="CD36" s="563">
        <v>15</v>
      </c>
      <c r="CE36" s="1393">
        <v>1</v>
      </c>
      <c r="CF36" s="1578">
        <v>2827</v>
      </c>
      <c r="CG36" s="1393">
        <v>680</v>
      </c>
      <c r="CH36" s="1227">
        <v>736.6</v>
      </c>
      <c r="CI36" s="1393">
        <v>237</v>
      </c>
      <c r="CJ36" s="1451">
        <v>166</v>
      </c>
      <c r="CK36" s="563">
        <v>655</v>
      </c>
      <c r="CL36" s="1452">
        <v>170.3</v>
      </c>
      <c r="CM36" s="1393">
        <v>234</v>
      </c>
      <c r="CN36" s="1452">
        <v>60.8</v>
      </c>
      <c r="CO36" s="635">
        <v>724</v>
      </c>
      <c r="CP36" s="1453">
        <v>188.2</v>
      </c>
      <c r="CQ36" s="544"/>
      <c r="CR36" s="1228">
        <v>297</v>
      </c>
      <c r="CS36" s="1228">
        <v>2810</v>
      </c>
      <c r="CT36" s="1228">
        <v>117</v>
      </c>
      <c r="CU36" s="1228">
        <v>2008</v>
      </c>
      <c r="CV36" s="1228">
        <v>11434</v>
      </c>
      <c r="CW36" s="1228">
        <v>3282</v>
      </c>
      <c r="CX36" s="1228">
        <v>4684</v>
      </c>
    </row>
    <row r="37" spans="1:102" ht="15.75" customHeight="1">
      <c r="A37" s="795" t="s">
        <v>199</v>
      </c>
      <c r="B37" s="553">
        <v>3568</v>
      </c>
      <c r="C37" s="521">
        <v>9.4</v>
      </c>
      <c r="D37" s="1430">
        <v>2902</v>
      </c>
      <c r="E37" s="538"/>
      <c r="F37" s="554">
        <v>1</v>
      </c>
      <c r="G37" s="1537">
        <v>80</v>
      </c>
      <c r="H37" s="1537">
        <v>17</v>
      </c>
      <c r="I37" s="1537">
        <v>1500</v>
      </c>
      <c r="J37" s="1537">
        <v>7</v>
      </c>
      <c r="K37" s="1537">
        <v>203</v>
      </c>
      <c r="L37" s="1537">
        <v>1</v>
      </c>
      <c r="M37" s="1537">
        <v>50</v>
      </c>
      <c r="N37" s="1539">
        <v>87</v>
      </c>
      <c r="O37" s="1431">
        <v>2680</v>
      </c>
      <c r="P37" s="556">
        <v>930</v>
      </c>
      <c r="Q37" s="1537">
        <v>6</v>
      </c>
      <c r="R37" s="1539">
        <v>266</v>
      </c>
      <c r="S37" s="1537">
        <v>4</v>
      </c>
      <c r="T37" s="1537">
        <v>8</v>
      </c>
      <c r="U37" s="1539">
        <v>835</v>
      </c>
      <c r="V37" s="1537" t="s">
        <v>200</v>
      </c>
      <c r="W37" s="1539" t="s">
        <v>202</v>
      </c>
      <c r="X37" s="1537" t="s">
        <v>153</v>
      </c>
      <c r="Y37" s="1539" t="s">
        <v>153</v>
      </c>
      <c r="Z37" s="1431">
        <v>12</v>
      </c>
      <c r="AA37" s="542"/>
      <c r="AB37" s="554">
        <v>103326</v>
      </c>
      <c r="AC37" s="1537">
        <v>18121</v>
      </c>
      <c r="AD37" s="1537">
        <v>28450478008</v>
      </c>
      <c r="AE37" s="1408">
        <v>98.79</v>
      </c>
      <c r="AF37" s="1431">
        <v>7</v>
      </c>
      <c r="AG37" s="544"/>
      <c r="AH37" s="553">
        <v>68240</v>
      </c>
      <c r="AI37" s="1429">
        <v>17.979754329999999</v>
      </c>
      <c r="AJ37" s="1430">
        <v>44839</v>
      </c>
      <c r="AK37" s="1429">
        <v>26.919982709999999</v>
      </c>
      <c r="AL37" s="1430">
        <v>335403.88760000002</v>
      </c>
      <c r="AM37" s="1411">
        <v>94.211882520000003</v>
      </c>
      <c r="AN37" s="1429">
        <v>43.7</v>
      </c>
      <c r="AO37" s="1263">
        <v>9.5</v>
      </c>
      <c r="AP37" s="1262"/>
      <c r="AQ37" s="553">
        <v>480</v>
      </c>
      <c r="AR37" s="1212">
        <v>5.4</v>
      </c>
      <c r="AS37" s="1458">
        <v>5550</v>
      </c>
      <c r="AT37" s="1458">
        <v>62.4</v>
      </c>
      <c r="AU37" s="1430">
        <v>2695</v>
      </c>
      <c r="AV37" s="1430">
        <v>35.6</v>
      </c>
      <c r="AW37" s="1458">
        <v>894</v>
      </c>
      <c r="AX37" s="1458">
        <v>10</v>
      </c>
      <c r="AY37" s="1430">
        <v>53</v>
      </c>
      <c r="AZ37" s="1458">
        <v>5247</v>
      </c>
      <c r="BA37" s="1458">
        <v>1933</v>
      </c>
      <c r="BB37" s="1458">
        <v>4222</v>
      </c>
      <c r="BC37" s="1459">
        <v>1637</v>
      </c>
      <c r="BD37" s="553">
        <v>17</v>
      </c>
      <c r="BE37" s="1458">
        <v>1237</v>
      </c>
      <c r="BF37" s="1458">
        <v>755</v>
      </c>
      <c r="BG37" s="1458">
        <v>914</v>
      </c>
      <c r="BH37" s="1458">
        <v>560</v>
      </c>
      <c r="BI37" s="1430" t="s">
        <v>148</v>
      </c>
      <c r="BJ37" s="1458" t="s">
        <v>148</v>
      </c>
      <c r="BK37" s="1458" t="s">
        <v>148</v>
      </c>
      <c r="BL37" s="1458" t="s">
        <v>148</v>
      </c>
      <c r="BM37" s="1458" t="s">
        <v>148</v>
      </c>
      <c r="BN37" s="1458" t="s">
        <v>148</v>
      </c>
      <c r="BO37" s="1459" t="s">
        <v>148</v>
      </c>
      <c r="BP37" s="553">
        <v>4</v>
      </c>
      <c r="BQ37" s="1458">
        <v>381</v>
      </c>
      <c r="BR37" s="1458">
        <v>169</v>
      </c>
      <c r="BS37" s="1458">
        <v>84</v>
      </c>
      <c r="BT37" s="1458">
        <v>329</v>
      </c>
      <c r="BU37" s="1458">
        <v>188</v>
      </c>
      <c r="BV37" s="1459">
        <v>66</v>
      </c>
      <c r="BW37" s="553">
        <v>22</v>
      </c>
      <c r="BX37" s="1212">
        <v>488</v>
      </c>
      <c r="BY37" s="1458">
        <v>341</v>
      </c>
      <c r="BZ37" s="1430">
        <v>0</v>
      </c>
      <c r="CA37" s="559">
        <v>25</v>
      </c>
      <c r="CB37" s="559">
        <v>8</v>
      </c>
      <c r="CC37" s="550"/>
      <c r="CD37" s="553">
        <v>16</v>
      </c>
      <c r="CE37" s="1430">
        <v>2</v>
      </c>
      <c r="CF37" s="1553">
        <v>3834</v>
      </c>
      <c r="CG37" s="1430">
        <v>724</v>
      </c>
      <c r="CH37" s="560">
        <v>1010.2</v>
      </c>
      <c r="CI37" s="1430">
        <v>261</v>
      </c>
      <c r="CJ37" s="1459">
        <v>180</v>
      </c>
      <c r="CK37" s="553">
        <v>898</v>
      </c>
      <c r="CL37" s="1429">
        <v>236.6</v>
      </c>
      <c r="CM37" s="1430">
        <v>274</v>
      </c>
      <c r="CN37" s="1429">
        <v>72.2</v>
      </c>
      <c r="CO37" s="561">
        <v>735</v>
      </c>
      <c r="CP37" s="1432">
        <v>193.7</v>
      </c>
      <c r="CQ37" s="544"/>
      <c r="CR37" s="562">
        <v>363</v>
      </c>
      <c r="CS37" s="562">
        <v>3279</v>
      </c>
      <c r="CT37" s="562">
        <v>116</v>
      </c>
      <c r="CU37" s="562">
        <v>1758</v>
      </c>
      <c r="CV37" s="562">
        <v>12910</v>
      </c>
      <c r="CW37" s="562">
        <v>3324</v>
      </c>
      <c r="CX37" s="562">
        <v>4347</v>
      </c>
    </row>
    <row r="38" spans="1:102" ht="15.75" customHeight="1">
      <c r="A38" s="779" t="s">
        <v>201</v>
      </c>
      <c r="B38" s="563">
        <v>2289</v>
      </c>
      <c r="C38" s="638">
        <v>5.47</v>
      </c>
      <c r="D38" s="1393">
        <v>1756</v>
      </c>
      <c r="E38" s="538"/>
      <c r="F38" s="627">
        <v>1</v>
      </c>
      <c r="G38" s="1555">
        <v>50</v>
      </c>
      <c r="H38" s="1555">
        <v>14</v>
      </c>
      <c r="I38" s="1555">
        <v>1101</v>
      </c>
      <c r="J38" s="1555">
        <v>12</v>
      </c>
      <c r="K38" s="1555">
        <v>348</v>
      </c>
      <c r="L38" s="1555" t="s">
        <v>148</v>
      </c>
      <c r="M38" s="1555" t="s">
        <v>148</v>
      </c>
      <c r="N38" s="1379">
        <v>40</v>
      </c>
      <c r="O38" s="1380">
        <v>1460</v>
      </c>
      <c r="P38" s="544">
        <v>862</v>
      </c>
      <c r="Q38" s="1555">
        <v>2</v>
      </c>
      <c r="R38" s="1379">
        <v>100</v>
      </c>
      <c r="S38" s="1555">
        <v>3</v>
      </c>
      <c r="T38" s="1555">
        <v>8</v>
      </c>
      <c r="U38" s="1379">
        <v>691</v>
      </c>
      <c r="V38" s="1555">
        <v>2</v>
      </c>
      <c r="W38" s="1379">
        <v>63</v>
      </c>
      <c r="X38" s="1555" t="s">
        <v>148</v>
      </c>
      <c r="Y38" s="1379" t="s">
        <v>148</v>
      </c>
      <c r="Z38" s="1380">
        <v>1</v>
      </c>
      <c r="AA38" s="542"/>
      <c r="AB38" s="627">
        <v>101100</v>
      </c>
      <c r="AC38" s="1555">
        <v>15752</v>
      </c>
      <c r="AD38" s="1555">
        <v>21999695653</v>
      </c>
      <c r="AE38" s="1407">
        <v>99.55</v>
      </c>
      <c r="AF38" s="1380">
        <v>28</v>
      </c>
      <c r="AG38" s="544"/>
      <c r="AH38" s="563">
        <v>68502</v>
      </c>
      <c r="AI38" s="1452">
        <v>16.437310886461091</v>
      </c>
      <c r="AJ38" s="1393">
        <v>44750</v>
      </c>
      <c r="AK38" s="1452">
        <v>24.204365980831223</v>
      </c>
      <c r="AL38" s="1393">
        <v>397396.456176462</v>
      </c>
      <c r="AM38" s="1471">
        <v>96.53</v>
      </c>
      <c r="AN38" s="1452">
        <v>38.299999999999997</v>
      </c>
      <c r="AO38" s="1237">
        <v>18.100000000000001</v>
      </c>
      <c r="AP38" s="546"/>
      <c r="AQ38" s="563">
        <v>2470</v>
      </c>
      <c r="AR38" s="550">
        <v>25</v>
      </c>
      <c r="AS38" s="1462">
        <v>5310</v>
      </c>
      <c r="AT38" s="1462">
        <v>53</v>
      </c>
      <c r="AU38" s="1393">
        <v>2190</v>
      </c>
      <c r="AV38" s="1393">
        <v>25</v>
      </c>
      <c r="AW38" s="1462">
        <v>475</v>
      </c>
      <c r="AX38" s="1462">
        <v>5</v>
      </c>
      <c r="AY38" s="1393">
        <v>51</v>
      </c>
      <c r="AZ38" s="1462">
        <v>4846</v>
      </c>
      <c r="BA38" s="1462">
        <v>1242</v>
      </c>
      <c r="BB38" s="1462">
        <v>2546</v>
      </c>
      <c r="BC38" s="1451">
        <v>874</v>
      </c>
      <c r="BD38" s="563">
        <v>9</v>
      </c>
      <c r="BE38" s="1462">
        <v>1023</v>
      </c>
      <c r="BF38" s="1462">
        <v>493</v>
      </c>
      <c r="BG38" s="1462">
        <v>673</v>
      </c>
      <c r="BH38" s="1462">
        <v>371</v>
      </c>
      <c r="BI38" s="1393" t="s">
        <v>148</v>
      </c>
      <c r="BJ38" s="1462" t="s">
        <v>148</v>
      </c>
      <c r="BK38" s="1462" t="s">
        <v>148</v>
      </c>
      <c r="BL38" s="1462" t="s">
        <v>148</v>
      </c>
      <c r="BM38" s="1462" t="s">
        <v>148</v>
      </c>
      <c r="BN38" s="1462" t="s">
        <v>148</v>
      </c>
      <c r="BO38" s="1451" t="s">
        <v>148</v>
      </c>
      <c r="BP38" s="563">
        <v>22</v>
      </c>
      <c r="BQ38" s="1462">
        <v>1606</v>
      </c>
      <c r="BR38" s="1462">
        <v>2108</v>
      </c>
      <c r="BS38" s="1462">
        <v>930</v>
      </c>
      <c r="BT38" s="1462">
        <v>1385</v>
      </c>
      <c r="BU38" s="1462">
        <v>1995</v>
      </c>
      <c r="BV38" s="1451">
        <v>730</v>
      </c>
      <c r="BW38" s="563">
        <v>4</v>
      </c>
      <c r="BX38" s="550">
        <v>97</v>
      </c>
      <c r="BY38" s="1462">
        <v>69</v>
      </c>
      <c r="BZ38" s="1393">
        <v>0</v>
      </c>
      <c r="CA38" s="1058" t="s">
        <v>148</v>
      </c>
      <c r="CB38" s="1058">
        <v>16</v>
      </c>
      <c r="CC38" s="550"/>
      <c r="CD38" s="563">
        <v>18</v>
      </c>
      <c r="CE38" s="1393" t="s">
        <v>148</v>
      </c>
      <c r="CF38" s="1578">
        <v>3321</v>
      </c>
      <c r="CG38" s="1393" t="s">
        <v>148</v>
      </c>
      <c r="CH38" s="1227">
        <v>796.88636030973237</v>
      </c>
      <c r="CI38" s="1393">
        <v>240</v>
      </c>
      <c r="CJ38" s="1451">
        <v>144</v>
      </c>
      <c r="CK38" s="563">
        <v>587</v>
      </c>
      <c r="CL38" s="1452">
        <v>140.85284357175937</v>
      </c>
      <c r="CM38" s="1393">
        <v>255</v>
      </c>
      <c r="CN38" s="1452">
        <v>61.18820291447809</v>
      </c>
      <c r="CO38" s="635">
        <v>681</v>
      </c>
      <c r="CP38" s="1453">
        <v>163.40849484219399</v>
      </c>
      <c r="CQ38" s="544"/>
      <c r="CR38" s="1228">
        <v>279</v>
      </c>
      <c r="CS38" s="1228">
        <v>4009</v>
      </c>
      <c r="CT38" s="1228">
        <v>77</v>
      </c>
      <c r="CU38" s="1228">
        <v>1261</v>
      </c>
      <c r="CV38" s="1228">
        <v>12686</v>
      </c>
      <c r="CW38" s="1228">
        <v>3688</v>
      </c>
      <c r="CX38" s="1228">
        <v>4095</v>
      </c>
    </row>
    <row r="39" spans="1:102" ht="15.75" customHeight="1">
      <c r="A39" s="795" t="s">
        <v>203</v>
      </c>
      <c r="B39" s="553">
        <v>4039</v>
      </c>
      <c r="C39" s="521">
        <v>11.75</v>
      </c>
      <c r="D39" s="1430">
        <v>3210</v>
      </c>
      <c r="E39" s="538"/>
      <c r="F39" s="554">
        <v>2</v>
      </c>
      <c r="G39" s="1537">
        <v>165</v>
      </c>
      <c r="H39" s="1537">
        <v>16</v>
      </c>
      <c r="I39" s="1537">
        <v>1384</v>
      </c>
      <c r="J39" s="1537">
        <v>4</v>
      </c>
      <c r="K39" s="1537">
        <v>116</v>
      </c>
      <c r="L39" s="1537" t="s">
        <v>153</v>
      </c>
      <c r="M39" s="1537" t="s">
        <v>153</v>
      </c>
      <c r="N39" s="1539">
        <v>20</v>
      </c>
      <c r="O39" s="1431">
        <v>1378</v>
      </c>
      <c r="P39" s="556">
        <v>1170</v>
      </c>
      <c r="Q39" s="1537">
        <v>4</v>
      </c>
      <c r="R39" s="1539">
        <v>130</v>
      </c>
      <c r="S39" s="1537">
        <v>5</v>
      </c>
      <c r="T39" s="1537">
        <v>7</v>
      </c>
      <c r="U39" s="1539">
        <v>439</v>
      </c>
      <c r="V39" s="1537" t="s">
        <v>153</v>
      </c>
      <c r="W39" s="1539" t="s">
        <v>153</v>
      </c>
      <c r="X39" s="1537">
        <v>1</v>
      </c>
      <c r="Y39" s="1539">
        <v>27</v>
      </c>
      <c r="Z39" s="1431">
        <v>5</v>
      </c>
      <c r="AA39" s="542"/>
      <c r="AB39" s="554">
        <v>94246</v>
      </c>
      <c r="AC39" s="1537">
        <v>18858</v>
      </c>
      <c r="AD39" s="1537">
        <v>27054900155</v>
      </c>
      <c r="AE39" s="1408">
        <v>98.3</v>
      </c>
      <c r="AF39" s="1431">
        <v>13</v>
      </c>
      <c r="AG39" s="544"/>
      <c r="AH39" s="553">
        <v>62925</v>
      </c>
      <c r="AI39" s="1429">
        <v>18.3</v>
      </c>
      <c r="AJ39" s="1430">
        <v>41957</v>
      </c>
      <c r="AK39" s="1429">
        <v>26.9</v>
      </c>
      <c r="AL39" s="1430">
        <v>417300</v>
      </c>
      <c r="AM39" s="1411">
        <v>95.6</v>
      </c>
      <c r="AN39" s="1429">
        <v>37</v>
      </c>
      <c r="AO39" s="558">
        <v>21.1</v>
      </c>
      <c r="AP39" s="546"/>
      <c r="AQ39" s="553">
        <v>2598</v>
      </c>
      <c r="AR39" s="1212">
        <v>30.3</v>
      </c>
      <c r="AS39" s="1458">
        <v>5211</v>
      </c>
      <c r="AT39" s="1458">
        <v>60.8</v>
      </c>
      <c r="AU39" s="1430">
        <v>3245</v>
      </c>
      <c r="AV39" s="1430">
        <v>43.5</v>
      </c>
      <c r="AW39" s="1458">
        <v>809</v>
      </c>
      <c r="AX39" s="1458">
        <v>9.4</v>
      </c>
      <c r="AY39" s="1430">
        <v>14</v>
      </c>
      <c r="AZ39" s="1458">
        <v>949</v>
      </c>
      <c r="BA39" s="1458">
        <v>571</v>
      </c>
      <c r="BB39" s="1458">
        <v>800</v>
      </c>
      <c r="BC39" s="1459">
        <v>225</v>
      </c>
      <c r="BD39" s="553">
        <v>45</v>
      </c>
      <c r="BE39" s="1458">
        <v>2267</v>
      </c>
      <c r="BF39" s="1458">
        <v>1599</v>
      </c>
      <c r="BG39" s="1458">
        <v>2393</v>
      </c>
      <c r="BH39" s="1458">
        <v>1457</v>
      </c>
      <c r="BI39" s="1430" t="s">
        <v>148</v>
      </c>
      <c r="BJ39" s="1458" t="s">
        <v>148</v>
      </c>
      <c r="BK39" s="1458" t="s">
        <v>148</v>
      </c>
      <c r="BL39" s="1458" t="s">
        <v>148</v>
      </c>
      <c r="BM39" s="1458" t="s">
        <v>148</v>
      </c>
      <c r="BN39" s="1458" t="s">
        <v>148</v>
      </c>
      <c r="BO39" s="1459" t="s">
        <v>148</v>
      </c>
      <c r="BP39" s="553">
        <v>31</v>
      </c>
      <c r="BQ39" s="1458">
        <v>780</v>
      </c>
      <c r="BR39" s="1458">
        <v>1931</v>
      </c>
      <c r="BS39" s="1458">
        <v>1246</v>
      </c>
      <c r="BT39" s="1458">
        <v>638</v>
      </c>
      <c r="BU39" s="1458">
        <v>2025</v>
      </c>
      <c r="BV39" s="1459">
        <v>1192</v>
      </c>
      <c r="BW39" s="553">
        <v>36</v>
      </c>
      <c r="BX39" s="1212">
        <v>437</v>
      </c>
      <c r="BY39" s="1458">
        <v>386</v>
      </c>
      <c r="BZ39" s="1430">
        <v>6</v>
      </c>
      <c r="CA39" s="559">
        <v>7</v>
      </c>
      <c r="CB39" s="559">
        <v>13</v>
      </c>
      <c r="CC39" s="550"/>
      <c r="CD39" s="553">
        <v>15</v>
      </c>
      <c r="CE39" s="1430" t="s">
        <v>148</v>
      </c>
      <c r="CF39" s="1553">
        <v>3814</v>
      </c>
      <c r="CG39" s="1430" t="s">
        <v>148</v>
      </c>
      <c r="CH39" s="560">
        <v>1109.2</v>
      </c>
      <c r="CI39" s="1430">
        <v>306</v>
      </c>
      <c r="CJ39" s="1459">
        <v>145</v>
      </c>
      <c r="CK39" s="553">
        <v>1594</v>
      </c>
      <c r="CL39" s="1429">
        <v>463.6</v>
      </c>
      <c r="CM39" s="1430">
        <v>278</v>
      </c>
      <c r="CN39" s="1429">
        <v>80.900000000000006</v>
      </c>
      <c r="CO39" s="561">
        <v>1194</v>
      </c>
      <c r="CP39" s="1432">
        <v>347.3</v>
      </c>
      <c r="CQ39" s="544"/>
      <c r="CR39" s="562">
        <v>348</v>
      </c>
      <c r="CS39" s="562">
        <v>2836</v>
      </c>
      <c r="CT39" s="562">
        <v>75</v>
      </c>
      <c r="CU39" s="562">
        <v>886</v>
      </c>
      <c r="CV39" s="562">
        <v>15984</v>
      </c>
      <c r="CW39" s="562">
        <v>3379</v>
      </c>
      <c r="CX39" s="562">
        <v>3399</v>
      </c>
    </row>
    <row r="40" spans="1:102" ht="15.75" customHeight="1">
      <c r="A40" s="779" t="s">
        <v>204</v>
      </c>
      <c r="B40" s="563">
        <v>9502</v>
      </c>
      <c r="C40" s="638">
        <v>23.8</v>
      </c>
      <c r="D40" s="1393">
        <v>7569</v>
      </c>
      <c r="E40" s="538"/>
      <c r="F40" s="627">
        <v>1</v>
      </c>
      <c r="G40" s="1555">
        <v>70</v>
      </c>
      <c r="H40" s="1555">
        <v>14</v>
      </c>
      <c r="I40" s="1555">
        <v>1182</v>
      </c>
      <c r="J40" s="1555">
        <v>10</v>
      </c>
      <c r="K40" s="1555">
        <v>290</v>
      </c>
      <c r="L40" s="1555" t="s">
        <v>153</v>
      </c>
      <c r="M40" s="1555" t="s">
        <v>153</v>
      </c>
      <c r="N40" s="1379">
        <v>94</v>
      </c>
      <c r="O40" s="1380">
        <v>5518</v>
      </c>
      <c r="P40" s="544">
        <v>1400</v>
      </c>
      <c r="Q40" s="1555">
        <v>3</v>
      </c>
      <c r="R40" s="1379">
        <v>220</v>
      </c>
      <c r="S40" s="1555" t="s">
        <v>153</v>
      </c>
      <c r="T40" s="1555">
        <v>10</v>
      </c>
      <c r="U40" s="1379">
        <v>809</v>
      </c>
      <c r="V40" s="1555" t="s">
        <v>153</v>
      </c>
      <c r="W40" s="1379" t="s">
        <v>153</v>
      </c>
      <c r="X40" s="1555" t="s">
        <v>153</v>
      </c>
      <c r="Y40" s="1379" t="s">
        <v>153</v>
      </c>
      <c r="Z40" s="1380">
        <v>10</v>
      </c>
      <c r="AA40" s="542"/>
      <c r="AB40" s="627">
        <v>104746</v>
      </c>
      <c r="AC40" s="1555">
        <v>24970</v>
      </c>
      <c r="AD40" s="1555">
        <v>35618384169</v>
      </c>
      <c r="AE40" s="1407">
        <v>98</v>
      </c>
      <c r="AF40" s="1380">
        <v>14</v>
      </c>
      <c r="AG40" s="544"/>
      <c r="AH40" s="563">
        <v>70618</v>
      </c>
      <c r="AI40" s="1452">
        <v>17.399999999999999</v>
      </c>
      <c r="AJ40" s="1393">
        <v>48409</v>
      </c>
      <c r="AK40" s="1452">
        <v>24.6</v>
      </c>
      <c r="AL40" s="1393">
        <v>424548</v>
      </c>
      <c r="AM40" s="1471">
        <v>92.8</v>
      </c>
      <c r="AN40" s="1452">
        <v>26.7</v>
      </c>
      <c r="AO40" s="1237">
        <v>17.899999999999999</v>
      </c>
      <c r="AP40" s="546"/>
      <c r="AQ40" s="563">
        <v>3437</v>
      </c>
      <c r="AR40" s="550">
        <v>32.200000000000003</v>
      </c>
      <c r="AS40" s="1462">
        <v>5073</v>
      </c>
      <c r="AT40" s="1462">
        <v>47.5</v>
      </c>
      <c r="AU40" s="1393">
        <v>3711</v>
      </c>
      <c r="AV40" s="1393">
        <v>39</v>
      </c>
      <c r="AW40" s="1462">
        <v>1107</v>
      </c>
      <c r="AX40" s="1462">
        <v>10</v>
      </c>
      <c r="AY40" s="1393" t="s">
        <v>153</v>
      </c>
      <c r="AZ40" s="1393" t="s">
        <v>153</v>
      </c>
      <c r="BA40" s="1393" t="s">
        <v>153</v>
      </c>
      <c r="BB40" s="1393" t="s">
        <v>153</v>
      </c>
      <c r="BC40" s="1393" t="s">
        <v>153</v>
      </c>
      <c r="BD40" s="563">
        <v>48</v>
      </c>
      <c r="BE40" s="1462">
        <v>886</v>
      </c>
      <c r="BF40" s="1462">
        <v>1639</v>
      </c>
      <c r="BG40" s="1462">
        <v>904</v>
      </c>
      <c r="BH40" s="1462">
        <v>1601</v>
      </c>
      <c r="BI40" s="635">
        <v>24</v>
      </c>
      <c r="BJ40" s="1462">
        <v>452</v>
      </c>
      <c r="BK40" s="1462">
        <v>2021</v>
      </c>
      <c r="BL40" s="1462">
        <v>782</v>
      </c>
      <c r="BM40" s="1462">
        <v>259</v>
      </c>
      <c r="BN40" s="1462">
        <v>1939</v>
      </c>
      <c r="BO40" s="1451">
        <v>717</v>
      </c>
      <c r="BP40" s="563">
        <v>33</v>
      </c>
      <c r="BQ40" s="1462">
        <v>3104</v>
      </c>
      <c r="BR40" s="1462">
        <v>2028</v>
      </c>
      <c r="BS40" s="1462">
        <v>1055</v>
      </c>
      <c r="BT40" s="1462">
        <v>2420</v>
      </c>
      <c r="BU40" s="1462">
        <v>2181</v>
      </c>
      <c r="BV40" s="1451">
        <v>1055</v>
      </c>
      <c r="BW40" s="563">
        <v>16</v>
      </c>
      <c r="BX40" s="550">
        <v>274</v>
      </c>
      <c r="BY40" s="1462">
        <v>275</v>
      </c>
      <c r="BZ40" s="1393">
        <v>9</v>
      </c>
      <c r="CA40" s="1058" t="s">
        <v>153</v>
      </c>
      <c r="CB40" s="1058">
        <v>18</v>
      </c>
      <c r="CC40" s="550"/>
      <c r="CD40" s="563">
        <v>19</v>
      </c>
      <c r="CE40" s="1393">
        <v>1</v>
      </c>
      <c r="CF40" s="1578">
        <v>4003</v>
      </c>
      <c r="CG40" s="1393">
        <v>613</v>
      </c>
      <c r="CH40" s="1227">
        <v>152.80000000000001</v>
      </c>
      <c r="CI40" s="1393">
        <v>431</v>
      </c>
      <c r="CJ40" s="1451">
        <v>247</v>
      </c>
      <c r="CK40" s="563">
        <v>829</v>
      </c>
      <c r="CL40" s="1452">
        <v>206.7</v>
      </c>
      <c r="CM40" s="1393">
        <v>342</v>
      </c>
      <c r="CN40" s="1452">
        <v>85.3</v>
      </c>
      <c r="CO40" s="635">
        <v>943</v>
      </c>
      <c r="CP40" s="1453">
        <v>235.2</v>
      </c>
      <c r="CQ40" s="544"/>
      <c r="CR40" s="1228">
        <v>665</v>
      </c>
      <c r="CS40" s="1228">
        <v>4176</v>
      </c>
      <c r="CT40" s="1228">
        <v>142</v>
      </c>
      <c r="CU40" s="1228">
        <v>2226</v>
      </c>
      <c r="CV40" s="1228">
        <v>13669</v>
      </c>
      <c r="CW40" s="1228">
        <v>3700</v>
      </c>
      <c r="CX40" s="1228">
        <v>4701</v>
      </c>
    </row>
    <row r="41" spans="1:102" ht="15.75" customHeight="1">
      <c r="A41" s="795" t="s">
        <v>205</v>
      </c>
      <c r="B41" s="553">
        <f>4433+2</f>
        <v>4435</v>
      </c>
      <c r="C41" s="521">
        <v>14.4</v>
      </c>
      <c r="D41" s="1430">
        <f>3+5635</f>
        <v>5638</v>
      </c>
      <c r="E41" s="538"/>
      <c r="F41" s="554" t="s">
        <v>148</v>
      </c>
      <c r="G41" s="1537" t="s">
        <v>148</v>
      </c>
      <c r="H41" s="1537">
        <v>17</v>
      </c>
      <c r="I41" s="1537">
        <v>1500</v>
      </c>
      <c r="J41" s="1537">
        <v>8</v>
      </c>
      <c r="K41" s="1537">
        <v>232</v>
      </c>
      <c r="L41" s="1537" t="s">
        <v>360</v>
      </c>
      <c r="M41" s="1537" t="s">
        <v>360</v>
      </c>
      <c r="N41" s="1537">
        <v>53</v>
      </c>
      <c r="O41" s="641">
        <v>2762</v>
      </c>
      <c r="P41" s="556">
        <v>995</v>
      </c>
      <c r="Q41" s="1537">
        <v>3</v>
      </c>
      <c r="R41" s="1539">
        <v>116</v>
      </c>
      <c r="S41" s="1537">
        <v>1</v>
      </c>
      <c r="T41" s="1537">
        <v>7</v>
      </c>
      <c r="U41" s="1539">
        <v>818</v>
      </c>
      <c r="V41" s="1537" t="s">
        <v>148</v>
      </c>
      <c r="W41" s="1539" t="s">
        <v>148</v>
      </c>
      <c r="X41" s="1537" t="s">
        <v>148</v>
      </c>
      <c r="Y41" s="1539" t="s">
        <v>148</v>
      </c>
      <c r="Z41" s="1431">
        <v>1</v>
      </c>
      <c r="AA41" s="542"/>
      <c r="AB41" s="554">
        <v>90607</v>
      </c>
      <c r="AC41" s="1537">
        <v>18422</v>
      </c>
      <c r="AD41" s="1537">
        <v>26724930991</v>
      </c>
      <c r="AE41" s="1408">
        <v>98.09</v>
      </c>
      <c r="AF41" s="1431">
        <v>16</v>
      </c>
      <c r="AG41" s="544"/>
      <c r="AH41" s="553">
        <v>60479</v>
      </c>
      <c r="AI41" s="1429">
        <v>15.9</v>
      </c>
      <c r="AJ41" s="1430">
        <v>41675</v>
      </c>
      <c r="AK41" s="1429">
        <v>22.8</v>
      </c>
      <c r="AL41" s="1430">
        <v>431513</v>
      </c>
      <c r="AM41" s="1411">
        <v>92.3</v>
      </c>
      <c r="AN41" s="1429">
        <v>43.6</v>
      </c>
      <c r="AO41" s="558">
        <v>31.8</v>
      </c>
      <c r="AP41" s="546"/>
      <c r="AQ41" s="553">
        <v>1683</v>
      </c>
      <c r="AR41" s="1212">
        <v>17</v>
      </c>
      <c r="AS41" s="1458">
        <v>4425</v>
      </c>
      <c r="AT41" s="1458">
        <v>44</v>
      </c>
      <c r="AU41" s="1430">
        <v>3218</v>
      </c>
      <c r="AV41" s="1430">
        <v>34</v>
      </c>
      <c r="AW41" s="1458">
        <v>1167</v>
      </c>
      <c r="AX41" s="1458">
        <v>12</v>
      </c>
      <c r="AY41" s="1430">
        <v>12</v>
      </c>
      <c r="AZ41" s="1458">
        <v>909</v>
      </c>
      <c r="BA41" s="1458">
        <v>477</v>
      </c>
      <c r="BB41" s="1458">
        <v>881</v>
      </c>
      <c r="BC41" s="1459">
        <v>493</v>
      </c>
      <c r="BD41" s="553">
        <v>36</v>
      </c>
      <c r="BE41" s="1458">
        <v>2061</v>
      </c>
      <c r="BF41" s="1458">
        <v>1340</v>
      </c>
      <c r="BG41" s="1458">
        <v>2026</v>
      </c>
      <c r="BH41" s="1458">
        <v>1432</v>
      </c>
      <c r="BI41" s="1430">
        <v>11</v>
      </c>
      <c r="BJ41" s="1458">
        <v>460</v>
      </c>
      <c r="BK41" s="1458">
        <v>531</v>
      </c>
      <c r="BL41" s="1458">
        <v>39</v>
      </c>
      <c r="BM41" s="1458">
        <v>342</v>
      </c>
      <c r="BN41" s="1458">
        <v>511</v>
      </c>
      <c r="BO41" s="1459">
        <v>44</v>
      </c>
      <c r="BP41" s="553">
        <v>13</v>
      </c>
      <c r="BQ41" s="1458">
        <v>363</v>
      </c>
      <c r="BR41" s="1458">
        <v>1119</v>
      </c>
      <c r="BS41" s="1458">
        <v>761</v>
      </c>
      <c r="BT41" s="1458">
        <v>274</v>
      </c>
      <c r="BU41" s="1458">
        <v>1080</v>
      </c>
      <c r="BV41" s="1459">
        <v>698</v>
      </c>
      <c r="BW41" s="553">
        <v>46</v>
      </c>
      <c r="BX41" s="561">
        <v>816</v>
      </c>
      <c r="BY41" s="1458">
        <v>710</v>
      </c>
      <c r="BZ41" s="1430">
        <v>0</v>
      </c>
      <c r="CA41" s="559">
        <v>12</v>
      </c>
      <c r="CB41" s="559">
        <v>15</v>
      </c>
      <c r="CC41" s="550"/>
      <c r="CD41" s="553">
        <v>15</v>
      </c>
      <c r="CE41" s="1430">
        <v>1</v>
      </c>
      <c r="CF41" s="1553">
        <v>4595</v>
      </c>
      <c r="CG41" s="1430">
        <v>431</v>
      </c>
      <c r="CH41" s="560">
        <v>1205.3</v>
      </c>
      <c r="CI41" s="1430">
        <v>374</v>
      </c>
      <c r="CJ41" s="1459">
        <v>211</v>
      </c>
      <c r="CK41" s="553">
        <v>2462</v>
      </c>
      <c r="CL41" s="1429">
        <v>638.5</v>
      </c>
      <c r="CM41" s="1430">
        <v>707</v>
      </c>
      <c r="CN41" s="1429">
        <v>183.4</v>
      </c>
      <c r="CO41" s="561">
        <v>1415</v>
      </c>
      <c r="CP41" s="1432">
        <v>367</v>
      </c>
      <c r="CQ41" s="544"/>
      <c r="CR41" s="562">
        <v>477</v>
      </c>
      <c r="CS41" s="562">
        <v>3360</v>
      </c>
      <c r="CT41" s="562">
        <v>173</v>
      </c>
      <c r="CU41" s="562">
        <v>2315</v>
      </c>
      <c r="CV41" s="562">
        <v>12292</v>
      </c>
      <c r="CW41" s="562">
        <v>3175</v>
      </c>
      <c r="CX41" s="562">
        <v>3292</v>
      </c>
    </row>
    <row r="42" spans="1:102" ht="15.75" customHeight="1">
      <c r="A42" s="779" t="s">
        <v>208</v>
      </c>
      <c r="B42" s="563">
        <v>5625</v>
      </c>
      <c r="C42" s="638">
        <v>16.2</v>
      </c>
      <c r="D42" s="1393">
        <v>4300</v>
      </c>
      <c r="E42" s="538"/>
      <c r="F42" s="627">
        <v>2</v>
      </c>
      <c r="G42" s="1555">
        <v>100</v>
      </c>
      <c r="H42" s="1555">
        <v>15</v>
      </c>
      <c r="I42" s="1555">
        <v>1270</v>
      </c>
      <c r="J42" s="1555">
        <v>9</v>
      </c>
      <c r="K42" s="1555">
        <v>261</v>
      </c>
      <c r="L42" s="1555" t="s">
        <v>153</v>
      </c>
      <c r="M42" s="1555" t="s">
        <v>153</v>
      </c>
      <c r="N42" s="1379">
        <v>40</v>
      </c>
      <c r="O42" s="1380">
        <v>2066</v>
      </c>
      <c r="P42" s="544">
        <v>899</v>
      </c>
      <c r="Q42" s="1555">
        <v>10</v>
      </c>
      <c r="R42" s="1379">
        <v>390</v>
      </c>
      <c r="S42" s="1555">
        <v>5</v>
      </c>
      <c r="T42" s="1555">
        <v>8</v>
      </c>
      <c r="U42" s="1379">
        <v>742</v>
      </c>
      <c r="V42" s="1555" t="s">
        <v>153</v>
      </c>
      <c r="W42" s="1379" t="s">
        <v>153</v>
      </c>
      <c r="X42" s="1555" t="s">
        <v>153</v>
      </c>
      <c r="Y42" s="1379" t="s">
        <v>153</v>
      </c>
      <c r="Z42" s="1380" t="s">
        <v>153</v>
      </c>
      <c r="AA42" s="542"/>
      <c r="AB42" s="627">
        <v>19925</v>
      </c>
      <c r="AC42" s="1555">
        <v>20280</v>
      </c>
      <c r="AD42" s="1555">
        <v>27600323626</v>
      </c>
      <c r="AE42" s="1407">
        <v>98.9</v>
      </c>
      <c r="AF42" s="1380">
        <v>12</v>
      </c>
      <c r="AG42" s="544"/>
      <c r="AH42" s="563">
        <v>62026</v>
      </c>
      <c r="AI42" s="1452">
        <v>17.8</v>
      </c>
      <c r="AJ42" s="1393">
        <v>42084</v>
      </c>
      <c r="AK42" s="1452">
        <v>25.6</v>
      </c>
      <c r="AL42" s="1393">
        <v>458350</v>
      </c>
      <c r="AM42" s="1471">
        <v>94.7</v>
      </c>
      <c r="AN42" s="1452">
        <v>37.1</v>
      </c>
      <c r="AO42" s="1237">
        <v>24.6</v>
      </c>
      <c r="AP42" s="546"/>
      <c r="AQ42" s="1264">
        <v>1511</v>
      </c>
      <c r="AR42" s="1265">
        <v>18.899999999999999</v>
      </c>
      <c r="AS42" s="1590">
        <v>4499</v>
      </c>
      <c r="AT42" s="1590">
        <v>56.3</v>
      </c>
      <c r="AU42" s="1591">
        <v>3256</v>
      </c>
      <c r="AV42" s="1591">
        <v>45.8</v>
      </c>
      <c r="AW42" s="1590">
        <v>940</v>
      </c>
      <c r="AX42" s="1590">
        <v>11.8</v>
      </c>
      <c r="AY42" s="1591">
        <v>8</v>
      </c>
      <c r="AZ42" s="1590">
        <v>569</v>
      </c>
      <c r="BA42" s="1590">
        <v>271</v>
      </c>
      <c r="BB42" s="1590">
        <v>613</v>
      </c>
      <c r="BC42" s="1592">
        <v>311</v>
      </c>
      <c r="BD42" s="1264">
        <v>15</v>
      </c>
      <c r="BE42" s="1590">
        <v>965</v>
      </c>
      <c r="BF42" s="1590">
        <v>556</v>
      </c>
      <c r="BG42" s="1590">
        <v>935</v>
      </c>
      <c r="BH42" s="1590">
        <v>527</v>
      </c>
      <c r="BI42" s="1591">
        <v>4</v>
      </c>
      <c r="BJ42" s="1590">
        <v>249</v>
      </c>
      <c r="BK42" s="1590">
        <v>228</v>
      </c>
      <c r="BL42" s="1590">
        <v>93</v>
      </c>
      <c r="BM42" s="1590">
        <v>163</v>
      </c>
      <c r="BN42" s="1590">
        <v>228</v>
      </c>
      <c r="BO42" s="1592">
        <v>102</v>
      </c>
      <c r="BP42" s="1264">
        <v>30</v>
      </c>
      <c r="BQ42" s="1590">
        <v>1140</v>
      </c>
      <c r="BR42" s="1590">
        <v>1968</v>
      </c>
      <c r="BS42" s="1590">
        <v>1207</v>
      </c>
      <c r="BT42" s="1590">
        <v>983</v>
      </c>
      <c r="BU42" s="1590">
        <v>2126</v>
      </c>
      <c r="BV42" s="1592">
        <v>1306</v>
      </c>
      <c r="BW42" s="1264">
        <v>53</v>
      </c>
      <c r="BX42" s="1265">
        <v>888</v>
      </c>
      <c r="BY42" s="1590">
        <v>808</v>
      </c>
      <c r="BZ42" s="1591">
        <v>0</v>
      </c>
      <c r="CA42" s="1058">
        <v>1</v>
      </c>
      <c r="CB42" s="1058">
        <v>18</v>
      </c>
      <c r="CC42" s="550"/>
      <c r="CD42" s="563">
        <v>17</v>
      </c>
      <c r="CE42" s="1393" t="s">
        <v>153</v>
      </c>
      <c r="CF42" s="1578">
        <v>4289</v>
      </c>
      <c r="CG42" s="1393" t="s">
        <v>153</v>
      </c>
      <c r="CH42" s="1227">
        <v>1232.4004367565083</v>
      </c>
      <c r="CI42" s="1393">
        <v>299</v>
      </c>
      <c r="CJ42" s="1451">
        <v>186</v>
      </c>
      <c r="CK42" s="563">
        <v>1581</v>
      </c>
      <c r="CL42" s="1452">
        <v>454.28423653813002</v>
      </c>
      <c r="CM42" s="1393">
        <v>249</v>
      </c>
      <c r="CN42" s="1452">
        <v>71.547612206195041</v>
      </c>
      <c r="CO42" s="635">
        <v>1283</v>
      </c>
      <c r="CP42" s="1453">
        <v>368.65697373714153</v>
      </c>
      <c r="CQ42" s="544"/>
      <c r="CR42" s="1228">
        <v>348</v>
      </c>
      <c r="CS42" s="1228">
        <v>4298</v>
      </c>
      <c r="CT42" s="1228">
        <v>125</v>
      </c>
      <c r="CU42" s="1266">
        <v>2129</v>
      </c>
      <c r="CV42" s="1228">
        <v>12995</v>
      </c>
      <c r="CW42" s="1228">
        <v>3885</v>
      </c>
      <c r="CX42" s="1228">
        <v>4283</v>
      </c>
    </row>
    <row r="43" spans="1:102" ht="15.75" customHeight="1">
      <c r="A43" s="795" t="s">
        <v>209</v>
      </c>
      <c r="B43" s="553">
        <v>7598</v>
      </c>
      <c r="C43" s="521">
        <v>19.2</v>
      </c>
      <c r="D43" s="1430">
        <v>5930</v>
      </c>
      <c r="E43" s="538"/>
      <c r="F43" s="554">
        <v>1</v>
      </c>
      <c r="G43" s="1537">
        <v>100</v>
      </c>
      <c r="H43" s="1537">
        <v>17</v>
      </c>
      <c r="I43" s="1537">
        <v>1263</v>
      </c>
      <c r="J43" s="1537">
        <v>8</v>
      </c>
      <c r="K43" s="1537">
        <v>232</v>
      </c>
      <c r="L43" s="1537">
        <v>1</v>
      </c>
      <c r="M43" s="1537">
        <v>50</v>
      </c>
      <c r="N43" s="1539">
        <v>106</v>
      </c>
      <c r="O43" s="1431">
        <v>4878</v>
      </c>
      <c r="P43" s="556">
        <v>1429</v>
      </c>
      <c r="Q43" s="1537">
        <v>7</v>
      </c>
      <c r="R43" s="1539">
        <v>252</v>
      </c>
      <c r="S43" s="1537">
        <v>2</v>
      </c>
      <c r="T43" s="1537">
        <v>9</v>
      </c>
      <c r="U43" s="1539">
        <v>973</v>
      </c>
      <c r="V43" s="1537">
        <v>1</v>
      </c>
      <c r="W43" s="1539">
        <v>39</v>
      </c>
      <c r="X43" s="1537">
        <v>1</v>
      </c>
      <c r="Y43" s="1539">
        <v>10</v>
      </c>
      <c r="Z43" s="1431" t="s">
        <v>153</v>
      </c>
      <c r="AA43" s="542"/>
      <c r="AB43" s="554">
        <v>113807</v>
      </c>
      <c r="AC43" s="1537">
        <v>21561</v>
      </c>
      <c r="AD43" s="1537">
        <v>31837163821</v>
      </c>
      <c r="AE43" s="1408">
        <v>98.6</v>
      </c>
      <c r="AF43" s="1431">
        <v>13</v>
      </c>
      <c r="AG43" s="544"/>
      <c r="AH43" s="553">
        <v>72250</v>
      </c>
      <c r="AI43" s="1429">
        <v>18.3</v>
      </c>
      <c r="AJ43" s="1430">
        <v>49008</v>
      </c>
      <c r="AK43" s="1429">
        <v>26.5</v>
      </c>
      <c r="AL43" s="1430">
        <v>439476</v>
      </c>
      <c r="AM43" s="1411">
        <v>95.2</v>
      </c>
      <c r="AN43" s="1429">
        <v>33.799999999999997</v>
      </c>
      <c r="AO43" s="558">
        <v>21.1</v>
      </c>
      <c r="AP43" s="546"/>
      <c r="AQ43" s="1267">
        <v>2301</v>
      </c>
      <c r="AR43" s="1268">
        <v>26</v>
      </c>
      <c r="AS43" s="1593">
        <v>4816</v>
      </c>
      <c r="AT43" s="1593">
        <v>55</v>
      </c>
      <c r="AU43" s="1594">
        <v>3946</v>
      </c>
      <c r="AV43" s="1594">
        <v>52</v>
      </c>
      <c r="AW43" s="1593">
        <v>1010</v>
      </c>
      <c r="AX43" s="1593">
        <v>12</v>
      </c>
      <c r="AY43" s="1594">
        <v>8</v>
      </c>
      <c r="AZ43" s="1593">
        <v>524</v>
      </c>
      <c r="BA43" s="1593">
        <v>326</v>
      </c>
      <c r="BB43" s="1593">
        <v>553</v>
      </c>
      <c r="BC43" s="1595">
        <v>366</v>
      </c>
      <c r="BD43" s="1267">
        <v>44</v>
      </c>
      <c r="BE43" s="1593">
        <v>3133</v>
      </c>
      <c r="BF43" s="1593">
        <v>2462</v>
      </c>
      <c r="BG43" s="1593">
        <v>3323</v>
      </c>
      <c r="BH43" s="1593">
        <v>2532</v>
      </c>
      <c r="BI43" s="1594" t="s">
        <v>153</v>
      </c>
      <c r="BJ43" s="1593" t="s">
        <v>153</v>
      </c>
      <c r="BK43" s="1593" t="s">
        <v>153</v>
      </c>
      <c r="BL43" s="1593" t="s">
        <v>153</v>
      </c>
      <c r="BM43" s="1593" t="s">
        <v>153</v>
      </c>
      <c r="BN43" s="1593" t="s">
        <v>153</v>
      </c>
      <c r="BO43" s="1595" t="s">
        <v>153</v>
      </c>
      <c r="BP43" s="1267">
        <v>11</v>
      </c>
      <c r="BQ43" s="1593">
        <v>2046</v>
      </c>
      <c r="BR43" s="1593">
        <v>666</v>
      </c>
      <c r="BS43" s="1593">
        <v>320</v>
      </c>
      <c r="BT43" s="1593">
        <v>1366</v>
      </c>
      <c r="BU43" s="1593">
        <v>624</v>
      </c>
      <c r="BV43" s="1595">
        <v>308</v>
      </c>
      <c r="BW43" s="1267">
        <v>14</v>
      </c>
      <c r="BX43" s="1268">
        <v>234</v>
      </c>
      <c r="BY43" s="1593">
        <v>227</v>
      </c>
      <c r="BZ43" s="1594">
        <v>0</v>
      </c>
      <c r="CA43" s="559" t="s">
        <v>153</v>
      </c>
      <c r="CB43" s="559">
        <v>13</v>
      </c>
      <c r="CC43" s="550"/>
      <c r="CD43" s="553">
        <v>24</v>
      </c>
      <c r="CE43" s="1430">
        <v>1</v>
      </c>
      <c r="CF43" s="1553">
        <v>5470</v>
      </c>
      <c r="CG43" s="1430">
        <v>335</v>
      </c>
      <c r="CH43" s="560">
        <v>1383.7</v>
      </c>
      <c r="CI43" s="1430">
        <v>288</v>
      </c>
      <c r="CJ43" s="1459">
        <v>212</v>
      </c>
      <c r="CK43" s="553">
        <v>1281</v>
      </c>
      <c r="CL43" s="1429">
        <v>322.39999999999998</v>
      </c>
      <c r="CM43" s="1430">
        <v>363</v>
      </c>
      <c r="CN43" s="1429">
        <v>91.4</v>
      </c>
      <c r="CO43" s="561">
        <v>1014</v>
      </c>
      <c r="CP43" s="1432">
        <v>255.2</v>
      </c>
      <c r="CQ43" s="544"/>
      <c r="CR43" s="562">
        <v>582</v>
      </c>
      <c r="CS43" s="562">
        <v>3456</v>
      </c>
      <c r="CT43" s="562">
        <v>142</v>
      </c>
      <c r="CU43" s="562">
        <v>1549</v>
      </c>
      <c r="CV43" s="562">
        <v>16408</v>
      </c>
      <c r="CW43" s="562">
        <v>4024</v>
      </c>
      <c r="CX43" s="562">
        <v>4503</v>
      </c>
    </row>
    <row r="44" spans="1:102" ht="15.75" customHeight="1">
      <c r="A44" s="779" t="s">
        <v>273</v>
      </c>
      <c r="B44" s="563">
        <v>7872</v>
      </c>
      <c r="C44" s="638">
        <v>30.1</v>
      </c>
      <c r="D44" s="1393">
        <v>6152</v>
      </c>
      <c r="E44" s="538"/>
      <c r="F44" s="627">
        <v>1</v>
      </c>
      <c r="G44" s="1555">
        <v>50</v>
      </c>
      <c r="H44" s="1555">
        <v>15</v>
      </c>
      <c r="I44" s="1555">
        <v>921</v>
      </c>
      <c r="J44" s="1555">
        <v>8</v>
      </c>
      <c r="K44" s="1555">
        <v>219</v>
      </c>
      <c r="L44" s="1555">
        <v>2</v>
      </c>
      <c r="M44" s="1555">
        <v>100</v>
      </c>
      <c r="N44" s="1379">
        <v>92</v>
      </c>
      <c r="O44" s="1380">
        <v>3761</v>
      </c>
      <c r="P44" s="544">
        <v>883</v>
      </c>
      <c r="Q44" s="1555">
        <v>5</v>
      </c>
      <c r="R44" s="1379">
        <v>203</v>
      </c>
      <c r="S44" s="1555">
        <v>2</v>
      </c>
      <c r="T44" s="1555">
        <v>5</v>
      </c>
      <c r="U44" s="1379">
        <v>471</v>
      </c>
      <c r="V44" s="1555">
        <v>2</v>
      </c>
      <c r="W44" s="1379">
        <v>100</v>
      </c>
      <c r="X44" s="1555" t="s">
        <v>153</v>
      </c>
      <c r="Y44" s="1379" t="s">
        <v>148</v>
      </c>
      <c r="Z44" s="1380" t="s">
        <v>148</v>
      </c>
      <c r="AA44" s="542"/>
      <c r="AB44" s="627">
        <v>73734</v>
      </c>
      <c r="AC44" s="1555">
        <v>17642</v>
      </c>
      <c r="AD44" s="1555">
        <v>25725949758</v>
      </c>
      <c r="AE44" s="1407">
        <v>97.62</v>
      </c>
      <c r="AF44" s="1380">
        <v>16</v>
      </c>
      <c r="AG44" s="544"/>
      <c r="AH44" s="563">
        <v>52028</v>
      </c>
      <c r="AI44" s="1452">
        <v>19.920000000000002</v>
      </c>
      <c r="AJ44" s="1393">
        <v>34545</v>
      </c>
      <c r="AK44" s="1452">
        <v>27.14</v>
      </c>
      <c r="AL44" s="1393">
        <v>435212</v>
      </c>
      <c r="AM44" s="1471">
        <v>92.83</v>
      </c>
      <c r="AN44" s="1452">
        <v>33.4</v>
      </c>
      <c r="AO44" s="1237">
        <v>8.4</v>
      </c>
      <c r="AP44" s="546"/>
      <c r="AQ44" s="563">
        <v>2097</v>
      </c>
      <c r="AR44" s="550">
        <v>34</v>
      </c>
      <c r="AS44" s="1462">
        <v>3763</v>
      </c>
      <c r="AT44" s="1462">
        <v>61</v>
      </c>
      <c r="AU44" s="1393">
        <v>2873</v>
      </c>
      <c r="AV44" s="1393">
        <v>75</v>
      </c>
      <c r="AW44" s="1462">
        <v>494</v>
      </c>
      <c r="AX44" s="1462">
        <v>8</v>
      </c>
      <c r="AY44" s="1393" t="s">
        <v>153</v>
      </c>
      <c r="AZ44" s="1462" t="s">
        <v>148</v>
      </c>
      <c r="BA44" s="1462" t="s">
        <v>148</v>
      </c>
      <c r="BB44" s="1462" t="s">
        <v>148</v>
      </c>
      <c r="BC44" s="1451" t="s">
        <v>148</v>
      </c>
      <c r="BD44" s="563">
        <v>13</v>
      </c>
      <c r="BE44" s="1462">
        <v>386</v>
      </c>
      <c r="BF44" s="1462">
        <v>524</v>
      </c>
      <c r="BG44" s="1462">
        <v>364</v>
      </c>
      <c r="BH44" s="1462">
        <v>526</v>
      </c>
      <c r="BI44" s="1393">
        <v>5</v>
      </c>
      <c r="BJ44" s="1462">
        <v>300</v>
      </c>
      <c r="BK44" s="1462">
        <v>540</v>
      </c>
      <c r="BL44" s="1462">
        <v>315</v>
      </c>
      <c r="BM44" s="1462">
        <v>204</v>
      </c>
      <c r="BN44" s="1462">
        <v>590</v>
      </c>
      <c r="BO44" s="1451">
        <v>303</v>
      </c>
      <c r="BP44" s="563">
        <v>43</v>
      </c>
      <c r="BQ44" s="1462">
        <v>1639</v>
      </c>
      <c r="BR44" s="1462">
        <v>2908</v>
      </c>
      <c r="BS44" s="1462">
        <v>1769</v>
      </c>
      <c r="BT44" s="1596">
        <v>1183</v>
      </c>
      <c r="BU44" s="1462">
        <v>2757</v>
      </c>
      <c r="BV44" s="1451">
        <v>1725</v>
      </c>
      <c r="BW44" s="563">
        <v>4</v>
      </c>
      <c r="BX44" s="550">
        <v>76</v>
      </c>
      <c r="BY44" s="1462">
        <v>64</v>
      </c>
      <c r="BZ44" s="1393">
        <v>0</v>
      </c>
      <c r="CA44" s="1058" t="s">
        <v>153</v>
      </c>
      <c r="CB44" s="1058">
        <v>18</v>
      </c>
      <c r="CC44" s="550"/>
      <c r="CD44" s="563">
        <v>11</v>
      </c>
      <c r="CE44" s="1393">
        <v>1</v>
      </c>
      <c r="CF44" s="1578">
        <v>2320</v>
      </c>
      <c r="CG44" s="1393">
        <v>380</v>
      </c>
      <c r="CH44" s="1227">
        <v>888.2</v>
      </c>
      <c r="CI44" s="1393">
        <v>214</v>
      </c>
      <c r="CJ44" s="1451">
        <v>136</v>
      </c>
      <c r="CK44" s="563">
        <v>532</v>
      </c>
      <c r="CL44" s="1452">
        <v>203.7</v>
      </c>
      <c r="CM44" s="1393">
        <v>206</v>
      </c>
      <c r="CN44" s="1452">
        <v>78.900000000000006</v>
      </c>
      <c r="CO44" s="635">
        <v>506</v>
      </c>
      <c r="CP44" s="1453">
        <v>193.7</v>
      </c>
      <c r="CQ44" s="544"/>
      <c r="CR44" s="1228">
        <v>503</v>
      </c>
      <c r="CS44" s="1228">
        <v>3071</v>
      </c>
      <c r="CT44" s="1228">
        <v>124</v>
      </c>
      <c r="CU44" s="1228">
        <v>1257</v>
      </c>
      <c r="CV44" s="1228">
        <v>10122</v>
      </c>
      <c r="CW44" s="1228">
        <v>3216</v>
      </c>
      <c r="CX44" s="1228">
        <v>3486</v>
      </c>
    </row>
    <row r="45" spans="1:102" ht="15.75" customHeight="1">
      <c r="A45" s="795" t="s">
        <v>274</v>
      </c>
      <c r="B45" s="553">
        <v>7366</v>
      </c>
      <c r="C45" s="521">
        <v>32.51</v>
      </c>
      <c r="D45" s="1430">
        <v>5814</v>
      </c>
      <c r="E45" s="538"/>
      <c r="F45" s="554" t="s">
        <v>153</v>
      </c>
      <c r="G45" s="1537" t="s">
        <v>153</v>
      </c>
      <c r="H45" s="1537">
        <v>14</v>
      </c>
      <c r="I45" s="1537">
        <v>908</v>
      </c>
      <c r="J45" s="1537">
        <v>6</v>
      </c>
      <c r="K45" s="1537">
        <v>174</v>
      </c>
      <c r="L45" s="1537" t="s">
        <v>153</v>
      </c>
      <c r="M45" s="1537" t="s">
        <v>153</v>
      </c>
      <c r="N45" s="1539">
        <v>58</v>
      </c>
      <c r="O45" s="1431">
        <v>2516</v>
      </c>
      <c r="P45" s="556">
        <v>987</v>
      </c>
      <c r="Q45" s="1537">
        <v>5</v>
      </c>
      <c r="R45" s="1539">
        <v>220</v>
      </c>
      <c r="S45" s="1537">
        <v>4</v>
      </c>
      <c r="T45" s="1537">
        <v>4</v>
      </c>
      <c r="U45" s="1539">
        <v>400</v>
      </c>
      <c r="V45" s="1537">
        <v>1</v>
      </c>
      <c r="W45" s="1539">
        <v>18</v>
      </c>
      <c r="X45" s="1537" t="s">
        <v>153</v>
      </c>
      <c r="Y45" s="1539" t="s">
        <v>153</v>
      </c>
      <c r="Z45" s="1431" t="s">
        <v>153</v>
      </c>
      <c r="AA45" s="542"/>
      <c r="AB45" s="554">
        <v>68153</v>
      </c>
      <c r="AC45" s="1537">
        <v>13646</v>
      </c>
      <c r="AD45" s="1537">
        <v>21306550352</v>
      </c>
      <c r="AE45" s="1408">
        <v>96.1</v>
      </c>
      <c r="AF45" s="1431">
        <v>12</v>
      </c>
      <c r="AG45" s="544"/>
      <c r="AH45" s="553">
        <v>46890</v>
      </c>
      <c r="AI45" s="1429">
        <v>20.7</v>
      </c>
      <c r="AJ45" s="1430">
        <v>31597</v>
      </c>
      <c r="AK45" s="1429">
        <v>28.1</v>
      </c>
      <c r="AL45" s="1430">
        <v>430135</v>
      </c>
      <c r="AM45" s="1411">
        <v>90.8</v>
      </c>
      <c r="AN45" s="1429">
        <v>34.799999999999997</v>
      </c>
      <c r="AO45" s="1432">
        <v>14.2</v>
      </c>
      <c r="AP45" s="546"/>
      <c r="AQ45" s="553">
        <v>964</v>
      </c>
      <c r="AR45" s="1212">
        <v>21</v>
      </c>
      <c r="AS45" s="1458">
        <v>2628</v>
      </c>
      <c r="AT45" s="1458">
        <v>57</v>
      </c>
      <c r="AU45" s="1430">
        <v>1730</v>
      </c>
      <c r="AV45" s="1430">
        <v>41</v>
      </c>
      <c r="AW45" s="1458">
        <v>422</v>
      </c>
      <c r="AX45" s="1458">
        <v>9</v>
      </c>
      <c r="AY45" s="1430">
        <v>6</v>
      </c>
      <c r="AZ45" s="1458">
        <v>512</v>
      </c>
      <c r="BA45" s="1458">
        <v>238</v>
      </c>
      <c r="BB45" s="1458">
        <v>452</v>
      </c>
      <c r="BC45" s="1459">
        <v>246</v>
      </c>
      <c r="BD45" s="553">
        <v>14</v>
      </c>
      <c r="BE45" s="1458">
        <v>829</v>
      </c>
      <c r="BF45" s="1458">
        <v>551</v>
      </c>
      <c r="BG45" s="1458">
        <v>785</v>
      </c>
      <c r="BH45" s="1458">
        <v>525</v>
      </c>
      <c r="BI45" s="1430" t="s">
        <v>153</v>
      </c>
      <c r="BJ45" s="1458" t="s">
        <v>148</v>
      </c>
      <c r="BK45" s="1458" t="s">
        <v>148</v>
      </c>
      <c r="BL45" s="1458" t="s">
        <v>148</v>
      </c>
      <c r="BM45" s="1458" t="s">
        <v>148</v>
      </c>
      <c r="BN45" s="1458" t="s">
        <v>148</v>
      </c>
      <c r="BO45" s="1459" t="s">
        <v>148</v>
      </c>
      <c r="BP45" s="553">
        <v>27</v>
      </c>
      <c r="BQ45" s="1458">
        <v>1045</v>
      </c>
      <c r="BR45" s="1458">
        <v>1356</v>
      </c>
      <c r="BS45" s="1458">
        <v>1007</v>
      </c>
      <c r="BT45" s="1458">
        <v>669</v>
      </c>
      <c r="BU45" s="1458">
        <v>1369</v>
      </c>
      <c r="BV45" s="1459">
        <v>932</v>
      </c>
      <c r="BW45" s="553">
        <v>2</v>
      </c>
      <c r="BX45" s="1212">
        <v>39</v>
      </c>
      <c r="BY45" s="1458">
        <v>21</v>
      </c>
      <c r="BZ45" s="1430">
        <v>0</v>
      </c>
      <c r="CA45" s="559">
        <v>1</v>
      </c>
      <c r="CB45" s="559">
        <v>12</v>
      </c>
      <c r="CC45" s="550"/>
      <c r="CD45" s="553">
        <v>14</v>
      </c>
      <c r="CE45" s="1430" t="s">
        <v>148</v>
      </c>
      <c r="CF45" s="1553">
        <v>1907</v>
      </c>
      <c r="CG45" s="1430" t="s">
        <v>148</v>
      </c>
      <c r="CH45" s="560">
        <v>841.22579876749626</v>
      </c>
      <c r="CI45" s="1430">
        <v>184</v>
      </c>
      <c r="CJ45" s="1459">
        <v>117</v>
      </c>
      <c r="CK45" s="553">
        <v>393</v>
      </c>
      <c r="CL45" s="1429">
        <v>171.1</v>
      </c>
      <c r="CM45" s="1430">
        <v>183</v>
      </c>
      <c r="CN45" s="1429">
        <v>79.7</v>
      </c>
      <c r="CO45" s="561">
        <v>465</v>
      </c>
      <c r="CP45" s="1432">
        <v>202.4</v>
      </c>
      <c r="CQ45" s="544"/>
      <c r="CR45" s="562">
        <v>367</v>
      </c>
      <c r="CS45" s="562">
        <v>2942</v>
      </c>
      <c r="CT45" s="562">
        <v>88</v>
      </c>
      <c r="CU45" s="562">
        <v>1117</v>
      </c>
      <c r="CV45" s="562">
        <v>9043</v>
      </c>
      <c r="CW45" s="562">
        <v>2983</v>
      </c>
      <c r="CX45" s="562">
        <v>2788</v>
      </c>
    </row>
    <row r="46" spans="1:102" ht="15.75" customHeight="1">
      <c r="A46" s="779" t="s">
        <v>215</v>
      </c>
      <c r="B46" s="563">
        <v>16451</v>
      </c>
      <c r="C46" s="638">
        <v>33.700000000000003</v>
      </c>
      <c r="D46" s="1393">
        <v>13260</v>
      </c>
      <c r="E46" s="538"/>
      <c r="F46" s="627">
        <v>1</v>
      </c>
      <c r="G46" s="1555">
        <v>150</v>
      </c>
      <c r="H46" s="1555">
        <v>26</v>
      </c>
      <c r="I46" s="1555">
        <v>1856</v>
      </c>
      <c r="J46" s="1555">
        <v>6</v>
      </c>
      <c r="K46" s="1555">
        <v>163</v>
      </c>
      <c r="L46" s="1555" t="s">
        <v>153</v>
      </c>
      <c r="M46" s="1555" t="s">
        <v>153</v>
      </c>
      <c r="N46" s="1379">
        <v>105</v>
      </c>
      <c r="O46" s="1380">
        <v>3907</v>
      </c>
      <c r="P46" s="544">
        <v>2133</v>
      </c>
      <c r="Q46" s="1555">
        <v>8</v>
      </c>
      <c r="R46" s="1379">
        <v>366</v>
      </c>
      <c r="S46" s="1555">
        <v>6</v>
      </c>
      <c r="T46" s="1555">
        <v>12</v>
      </c>
      <c r="U46" s="1379">
        <v>1161</v>
      </c>
      <c r="V46" s="1555">
        <v>1</v>
      </c>
      <c r="W46" s="1379">
        <v>58</v>
      </c>
      <c r="X46" s="1555">
        <v>2</v>
      </c>
      <c r="Y46" s="1379">
        <v>85</v>
      </c>
      <c r="Z46" s="1380" t="s">
        <v>153</v>
      </c>
      <c r="AA46" s="542"/>
      <c r="AB46" s="627">
        <v>134622</v>
      </c>
      <c r="AC46" s="1555">
        <v>33688</v>
      </c>
      <c r="AD46" s="1555">
        <v>46694023623</v>
      </c>
      <c r="AE46" s="1407">
        <v>97.22</v>
      </c>
      <c r="AF46" s="1380">
        <v>22</v>
      </c>
      <c r="AG46" s="544"/>
      <c r="AH46" s="563">
        <v>96318</v>
      </c>
      <c r="AI46" s="1452">
        <v>20.100000000000001</v>
      </c>
      <c r="AJ46" s="1393">
        <v>65975</v>
      </c>
      <c r="AK46" s="1452">
        <v>26.8</v>
      </c>
      <c r="AL46" s="1393">
        <v>447743</v>
      </c>
      <c r="AM46" s="1471">
        <v>94.1</v>
      </c>
      <c r="AN46" s="1452">
        <v>27.4</v>
      </c>
      <c r="AO46" s="1452">
        <v>16.2</v>
      </c>
      <c r="AP46" s="546"/>
      <c r="AQ46" s="563">
        <v>2746</v>
      </c>
      <c r="AR46" s="550">
        <v>28</v>
      </c>
      <c r="AS46" s="1462">
        <v>5399</v>
      </c>
      <c r="AT46" s="1462">
        <v>56</v>
      </c>
      <c r="AU46" s="1393">
        <v>3486</v>
      </c>
      <c r="AV46" s="1393">
        <v>38</v>
      </c>
      <c r="AW46" s="1462">
        <v>849</v>
      </c>
      <c r="AX46" s="1462">
        <v>9</v>
      </c>
      <c r="AY46" s="1393">
        <v>7</v>
      </c>
      <c r="AZ46" s="1462">
        <v>548</v>
      </c>
      <c r="BA46" s="1462">
        <v>181</v>
      </c>
      <c r="BB46" s="1462">
        <v>507</v>
      </c>
      <c r="BC46" s="1451">
        <v>172</v>
      </c>
      <c r="BD46" s="563">
        <v>25</v>
      </c>
      <c r="BE46" s="1462">
        <v>1195</v>
      </c>
      <c r="BF46" s="1462">
        <v>822</v>
      </c>
      <c r="BG46" s="1462">
        <v>1183</v>
      </c>
      <c r="BH46" s="1462">
        <v>831</v>
      </c>
      <c r="BI46" s="1393">
        <v>6</v>
      </c>
      <c r="BJ46" s="1462">
        <v>590</v>
      </c>
      <c r="BK46" s="1462">
        <v>362</v>
      </c>
      <c r="BL46" s="1462">
        <v>155</v>
      </c>
      <c r="BM46" s="1462">
        <v>268</v>
      </c>
      <c r="BN46" s="1462">
        <v>359</v>
      </c>
      <c r="BO46" s="1451">
        <v>152</v>
      </c>
      <c r="BP46" s="563">
        <v>49</v>
      </c>
      <c r="BQ46" s="1462">
        <v>3046</v>
      </c>
      <c r="BR46" s="1462">
        <v>3265</v>
      </c>
      <c r="BS46" s="1462">
        <v>1772</v>
      </c>
      <c r="BT46" s="1462">
        <v>2027</v>
      </c>
      <c r="BU46" s="1462">
        <v>3271</v>
      </c>
      <c r="BV46" s="1451">
        <v>1877</v>
      </c>
      <c r="BW46" s="563">
        <v>22</v>
      </c>
      <c r="BX46" s="550">
        <v>418</v>
      </c>
      <c r="BY46" s="1462">
        <v>413</v>
      </c>
      <c r="BZ46" s="1393">
        <v>0</v>
      </c>
      <c r="CA46" s="1058">
        <v>2</v>
      </c>
      <c r="CB46" s="1058">
        <v>25</v>
      </c>
      <c r="CC46" s="550"/>
      <c r="CD46" s="563">
        <v>21</v>
      </c>
      <c r="CE46" s="1393" t="s">
        <v>153</v>
      </c>
      <c r="CF46" s="1578">
        <v>4253</v>
      </c>
      <c r="CG46" s="1393">
        <v>9</v>
      </c>
      <c r="CH46" s="1227">
        <v>887.3</v>
      </c>
      <c r="CI46" s="1393">
        <v>404</v>
      </c>
      <c r="CJ46" s="1451">
        <v>281</v>
      </c>
      <c r="CK46" s="563">
        <v>983</v>
      </c>
      <c r="CL46" s="1452">
        <v>205.1</v>
      </c>
      <c r="CM46" s="1393">
        <v>419</v>
      </c>
      <c r="CN46" s="1452">
        <v>87.4</v>
      </c>
      <c r="CO46" s="635">
        <v>970</v>
      </c>
      <c r="CP46" s="1453">
        <v>202.4</v>
      </c>
      <c r="CQ46" s="544"/>
      <c r="CR46" s="1228">
        <v>1017</v>
      </c>
      <c r="CS46" s="1228">
        <v>6094</v>
      </c>
      <c r="CT46" s="1228">
        <v>223</v>
      </c>
      <c r="CU46" s="1228">
        <v>1818</v>
      </c>
      <c r="CV46" s="1228">
        <v>18197</v>
      </c>
      <c r="CW46" s="1228">
        <v>5018</v>
      </c>
      <c r="CX46" s="1228">
        <v>5912</v>
      </c>
    </row>
    <row r="47" spans="1:102" ht="15.75" customHeight="1">
      <c r="A47" s="795" t="s">
        <v>216</v>
      </c>
      <c r="B47" s="553">
        <v>8191</v>
      </c>
      <c r="C47" s="521">
        <v>15.67</v>
      </c>
      <c r="D47" s="1430">
        <v>6682</v>
      </c>
      <c r="E47" s="538"/>
      <c r="F47" s="554">
        <v>3</v>
      </c>
      <c r="G47" s="1537">
        <v>250</v>
      </c>
      <c r="H47" s="1537">
        <v>34</v>
      </c>
      <c r="I47" s="1537">
        <v>2216</v>
      </c>
      <c r="J47" s="1537">
        <v>15</v>
      </c>
      <c r="K47" s="1537">
        <v>380</v>
      </c>
      <c r="L47" s="1537" t="s">
        <v>148</v>
      </c>
      <c r="M47" s="1537" t="s">
        <v>148</v>
      </c>
      <c r="N47" s="1539">
        <v>62</v>
      </c>
      <c r="O47" s="1431">
        <v>2096</v>
      </c>
      <c r="P47" s="556">
        <v>1565</v>
      </c>
      <c r="Q47" s="1537">
        <v>8</v>
      </c>
      <c r="R47" s="1539">
        <v>226</v>
      </c>
      <c r="S47" s="1537">
        <v>4</v>
      </c>
      <c r="T47" s="1537">
        <v>11</v>
      </c>
      <c r="U47" s="1539">
        <v>968</v>
      </c>
      <c r="V47" s="1537">
        <v>4</v>
      </c>
      <c r="W47" s="1539">
        <v>216</v>
      </c>
      <c r="X47" s="1537" t="s">
        <v>148</v>
      </c>
      <c r="Y47" s="1539" t="s">
        <v>148</v>
      </c>
      <c r="Z47" s="1431" t="s">
        <v>148</v>
      </c>
      <c r="AA47" s="542"/>
      <c r="AB47" s="554">
        <v>143620</v>
      </c>
      <c r="AC47" s="1537">
        <v>32821</v>
      </c>
      <c r="AD47" s="1537">
        <v>41364046626</v>
      </c>
      <c r="AE47" s="1408">
        <v>98.2</v>
      </c>
      <c r="AF47" s="1431">
        <v>24</v>
      </c>
      <c r="AG47" s="544"/>
      <c r="AH47" s="553">
        <v>98838</v>
      </c>
      <c r="AI47" s="1429">
        <v>18.8</v>
      </c>
      <c r="AJ47" s="1430">
        <v>65220</v>
      </c>
      <c r="AK47" s="1429">
        <v>26.5</v>
      </c>
      <c r="AL47" s="1430">
        <v>415362</v>
      </c>
      <c r="AM47" s="1411">
        <v>94.3</v>
      </c>
      <c r="AN47" s="1485">
        <v>34.799999999999997</v>
      </c>
      <c r="AO47" s="558">
        <v>12.6</v>
      </c>
      <c r="AP47" s="546"/>
      <c r="AQ47" s="553">
        <v>3614</v>
      </c>
      <c r="AR47" s="1212">
        <v>28.8</v>
      </c>
      <c r="AS47" s="1458">
        <v>8120</v>
      </c>
      <c r="AT47" s="1458">
        <v>64.7</v>
      </c>
      <c r="AU47" s="1430">
        <v>4126</v>
      </c>
      <c r="AV47" s="1430">
        <v>36.6</v>
      </c>
      <c r="AW47" s="1458">
        <v>696</v>
      </c>
      <c r="AX47" s="1458">
        <v>5.5</v>
      </c>
      <c r="AY47" s="1430">
        <v>18</v>
      </c>
      <c r="AZ47" s="1458">
        <v>1515</v>
      </c>
      <c r="BA47" s="1458">
        <v>793</v>
      </c>
      <c r="BB47" s="1458">
        <v>1160</v>
      </c>
      <c r="BC47" s="1459">
        <v>515</v>
      </c>
      <c r="BD47" s="553">
        <v>13</v>
      </c>
      <c r="BE47" s="1458">
        <v>899</v>
      </c>
      <c r="BF47" s="1458">
        <v>676</v>
      </c>
      <c r="BG47" s="1458">
        <v>921</v>
      </c>
      <c r="BH47" s="1458">
        <v>485</v>
      </c>
      <c r="BI47" s="1430">
        <v>11</v>
      </c>
      <c r="BJ47" s="1458">
        <v>316</v>
      </c>
      <c r="BK47" s="1458">
        <v>698</v>
      </c>
      <c r="BL47" s="1458">
        <v>301</v>
      </c>
      <c r="BM47" s="1458">
        <v>175</v>
      </c>
      <c r="BN47" s="1458">
        <v>592</v>
      </c>
      <c r="BO47" s="1459">
        <v>219</v>
      </c>
      <c r="BP47" s="553">
        <v>74</v>
      </c>
      <c r="BQ47" s="1458">
        <v>2591</v>
      </c>
      <c r="BR47" s="1458">
        <v>5255</v>
      </c>
      <c r="BS47" s="1458">
        <v>3071</v>
      </c>
      <c r="BT47" s="1458">
        <v>2234</v>
      </c>
      <c r="BU47" s="1458">
        <v>5189</v>
      </c>
      <c r="BV47" s="1459">
        <v>2543</v>
      </c>
      <c r="BW47" s="553" t="s">
        <v>153</v>
      </c>
      <c r="BX47" s="1212" t="s">
        <v>148</v>
      </c>
      <c r="BY47" s="1458" t="s">
        <v>148</v>
      </c>
      <c r="BZ47" s="1430">
        <v>32</v>
      </c>
      <c r="CA47" s="559">
        <v>11</v>
      </c>
      <c r="CB47" s="559">
        <v>29</v>
      </c>
      <c r="CC47" s="550"/>
      <c r="CD47" s="553">
        <v>34</v>
      </c>
      <c r="CE47" s="1430" t="s">
        <v>153</v>
      </c>
      <c r="CF47" s="1553">
        <v>6361</v>
      </c>
      <c r="CG47" s="1430" t="s">
        <v>153</v>
      </c>
      <c r="CH47" s="560">
        <v>1216.2</v>
      </c>
      <c r="CI47" s="1430">
        <v>422</v>
      </c>
      <c r="CJ47" s="1459">
        <v>283</v>
      </c>
      <c r="CK47" s="553">
        <v>1296</v>
      </c>
      <c r="CL47" s="1429">
        <v>244.3</v>
      </c>
      <c r="CM47" s="1430">
        <v>405</v>
      </c>
      <c r="CN47" s="1429">
        <v>76.3</v>
      </c>
      <c r="CO47" s="561">
        <v>1293</v>
      </c>
      <c r="CP47" s="1432">
        <v>243.7</v>
      </c>
      <c r="CQ47" s="544"/>
      <c r="CR47" s="562">
        <v>513</v>
      </c>
      <c r="CS47" s="562">
        <v>3606</v>
      </c>
      <c r="CT47" s="562">
        <v>148</v>
      </c>
      <c r="CU47" s="562">
        <v>1771</v>
      </c>
      <c r="CV47" s="562">
        <v>19606</v>
      </c>
      <c r="CW47" s="562">
        <v>6052</v>
      </c>
      <c r="CX47" s="562">
        <v>4416</v>
      </c>
    </row>
    <row r="48" spans="1:102" ht="15.75" customHeight="1">
      <c r="A48" s="779" t="s">
        <v>218</v>
      </c>
      <c r="B48" s="563">
        <v>16860</v>
      </c>
      <c r="C48" s="638">
        <v>37.1</v>
      </c>
      <c r="D48" s="1393">
        <v>13481</v>
      </c>
      <c r="E48" s="538"/>
      <c r="F48" s="627">
        <v>1</v>
      </c>
      <c r="G48" s="1555">
        <v>30</v>
      </c>
      <c r="H48" s="1555">
        <v>23</v>
      </c>
      <c r="I48" s="1555">
        <v>1841</v>
      </c>
      <c r="J48" s="1555">
        <v>3</v>
      </c>
      <c r="K48" s="1555">
        <v>73</v>
      </c>
      <c r="L48" s="1555">
        <v>5</v>
      </c>
      <c r="M48" s="1555">
        <v>75</v>
      </c>
      <c r="N48" s="1379">
        <v>100</v>
      </c>
      <c r="O48" s="1380">
        <v>4009</v>
      </c>
      <c r="P48" s="544">
        <v>1759</v>
      </c>
      <c r="Q48" s="1555">
        <v>5</v>
      </c>
      <c r="R48" s="1379">
        <v>75</v>
      </c>
      <c r="S48" s="1555">
        <v>5</v>
      </c>
      <c r="T48" s="1555">
        <v>14</v>
      </c>
      <c r="U48" s="1379">
        <v>1154</v>
      </c>
      <c r="V48" s="1555">
        <v>1</v>
      </c>
      <c r="W48" s="1379">
        <v>48</v>
      </c>
      <c r="X48" s="1555" t="s">
        <v>153</v>
      </c>
      <c r="Y48" s="1379" t="s">
        <v>153</v>
      </c>
      <c r="Z48" s="1380" t="s">
        <v>153</v>
      </c>
      <c r="AA48" s="542"/>
      <c r="AB48" s="627">
        <v>126099</v>
      </c>
      <c r="AC48" s="1555">
        <v>30595</v>
      </c>
      <c r="AD48" s="1555">
        <v>43406729182</v>
      </c>
      <c r="AE48" s="1407">
        <v>96.9</v>
      </c>
      <c r="AF48" s="1380">
        <v>12</v>
      </c>
      <c r="AG48" s="544"/>
      <c r="AH48" s="563">
        <v>85911</v>
      </c>
      <c r="AI48" s="1452">
        <v>18.7</v>
      </c>
      <c r="AJ48" s="1393">
        <v>60261</v>
      </c>
      <c r="AK48" s="1452">
        <v>25</v>
      </c>
      <c r="AL48" s="1393">
        <v>478720</v>
      </c>
      <c r="AM48" s="1471">
        <v>94.4</v>
      </c>
      <c r="AN48" s="1452">
        <v>31.3</v>
      </c>
      <c r="AO48" s="1237">
        <v>39</v>
      </c>
      <c r="AP48" s="546"/>
      <c r="AQ48" s="563">
        <v>2996</v>
      </c>
      <c r="AR48" s="550">
        <v>30</v>
      </c>
      <c r="AS48" s="1462">
        <v>4723</v>
      </c>
      <c r="AT48" s="1462">
        <v>47</v>
      </c>
      <c r="AU48" s="1393">
        <v>4261</v>
      </c>
      <c r="AV48" s="1393">
        <v>43</v>
      </c>
      <c r="AW48" s="1462">
        <v>1611</v>
      </c>
      <c r="AX48" s="1462">
        <v>16</v>
      </c>
      <c r="AY48" s="1393">
        <v>16</v>
      </c>
      <c r="AZ48" s="1462">
        <v>804</v>
      </c>
      <c r="BA48" s="1462">
        <v>611</v>
      </c>
      <c r="BB48" s="1462">
        <v>769</v>
      </c>
      <c r="BC48" s="1451">
        <v>515</v>
      </c>
      <c r="BD48" s="563">
        <v>66</v>
      </c>
      <c r="BE48" s="1462">
        <v>2480</v>
      </c>
      <c r="BF48" s="1462">
        <v>2837</v>
      </c>
      <c r="BG48" s="1393">
        <v>2960</v>
      </c>
      <c r="BH48" s="1393">
        <v>2447</v>
      </c>
      <c r="BI48" s="1393" t="s">
        <v>153</v>
      </c>
      <c r="BJ48" s="1462" t="s">
        <v>148</v>
      </c>
      <c r="BK48" s="1462" t="s">
        <v>148</v>
      </c>
      <c r="BL48" s="1462" t="s">
        <v>148</v>
      </c>
      <c r="BM48" s="1462" t="s">
        <v>148</v>
      </c>
      <c r="BN48" s="1462" t="s">
        <v>148</v>
      </c>
      <c r="BO48" s="1451" t="s">
        <v>148</v>
      </c>
      <c r="BP48" s="563">
        <v>22</v>
      </c>
      <c r="BQ48" s="1462">
        <v>3198</v>
      </c>
      <c r="BR48" s="1462">
        <v>908</v>
      </c>
      <c r="BS48" s="1462">
        <v>655</v>
      </c>
      <c r="BT48" s="1462">
        <v>2472</v>
      </c>
      <c r="BU48" s="1462">
        <v>979</v>
      </c>
      <c r="BV48" s="1451">
        <v>636</v>
      </c>
      <c r="BW48" s="563">
        <v>45</v>
      </c>
      <c r="BX48" s="550">
        <v>736</v>
      </c>
      <c r="BY48" s="1462">
        <v>661</v>
      </c>
      <c r="BZ48" s="1393">
        <v>48</v>
      </c>
      <c r="CA48" s="1058" t="s">
        <v>153</v>
      </c>
      <c r="CB48" s="1058">
        <v>11</v>
      </c>
      <c r="CC48" s="550"/>
      <c r="CD48" s="563">
        <v>24</v>
      </c>
      <c r="CE48" s="1393" t="s">
        <v>148</v>
      </c>
      <c r="CF48" s="1578">
        <v>4264</v>
      </c>
      <c r="CG48" s="1393" t="s">
        <v>148</v>
      </c>
      <c r="CH48" s="1227">
        <v>930.4</v>
      </c>
      <c r="CI48" s="1393">
        <v>510</v>
      </c>
      <c r="CJ48" s="1451">
        <v>243</v>
      </c>
      <c r="CK48" s="563">
        <v>1373</v>
      </c>
      <c r="CL48" s="1452">
        <v>299.60000000000002</v>
      </c>
      <c r="CM48" s="1393">
        <v>371</v>
      </c>
      <c r="CN48" s="1452">
        <v>80.900000000000006</v>
      </c>
      <c r="CO48" s="635">
        <v>1410</v>
      </c>
      <c r="CP48" s="1453">
        <v>307.7</v>
      </c>
      <c r="CQ48" s="544"/>
      <c r="CR48" s="1228">
        <v>942</v>
      </c>
      <c r="CS48" s="1228">
        <v>4913</v>
      </c>
      <c r="CT48" s="1228">
        <v>194</v>
      </c>
      <c r="CU48" s="1228">
        <v>2659</v>
      </c>
      <c r="CV48" s="1228">
        <v>21534</v>
      </c>
      <c r="CW48" s="1228">
        <v>6117</v>
      </c>
      <c r="CX48" s="1228">
        <v>5804</v>
      </c>
    </row>
    <row r="49" spans="1:102" ht="15.75" customHeight="1">
      <c r="A49" s="795" t="s">
        <v>275</v>
      </c>
      <c r="B49" s="553">
        <v>5070</v>
      </c>
      <c r="C49" s="521">
        <v>16.600000000000001</v>
      </c>
      <c r="D49" s="1430">
        <v>3895</v>
      </c>
      <c r="E49" s="538"/>
      <c r="F49" s="554">
        <v>2</v>
      </c>
      <c r="G49" s="1537">
        <v>180</v>
      </c>
      <c r="H49" s="1537">
        <v>16</v>
      </c>
      <c r="I49" s="1537">
        <v>1130</v>
      </c>
      <c r="J49" s="1537">
        <v>3</v>
      </c>
      <c r="K49" s="1537">
        <v>87</v>
      </c>
      <c r="L49" s="1537" t="s">
        <v>153</v>
      </c>
      <c r="M49" s="1537" t="s">
        <v>153</v>
      </c>
      <c r="N49" s="1539">
        <v>31</v>
      </c>
      <c r="O49" s="1431">
        <v>1264</v>
      </c>
      <c r="P49" s="556">
        <v>760</v>
      </c>
      <c r="Q49" s="1537">
        <v>3</v>
      </c>
      <c r="R49" s="1539">
        <v>218</v>
      </c>
      <c r="S49" s="1537" t="s">
        <v>153</v>
      </c>
      <c r="T49" s="1537">
        <v>6</v>
      </c>
      <c r="U49" s="1539">
        <v>596</v>
      </c>
      <c r="V49" s="1537" t="s">
        <v>153</v>
      </c>
      <c r="W49" s="1539" t="s">
        <v>153</v>
      </c>
      <c r="X49" s="1537" t="s">
        <v>153</v>
      </c>
      <c r="Y49" s="1539" t="s">
        <v>153</v>
      </c>
      <c r="Z49" s="1431" t="s">
        <v>153</v>
      </c>
      <c r="AA49" s="542"/>
      <c r="AB49" s="554">
        <v>80104</v>
      </c>
      <c r="AC49" s="1537">
        <v>15930</v>
      </c>
      <c r="AD49" s="1537">
        <v>21810586706</v>
      </c>
      <c r="AE49" s="1408">
        <v>98.19</v>
      </c>
      <c r="AF49" s="1431">
        <v>6</v>
      </c>
      <c r="AG49" s="544"/>
      <c r="AH49" s="553">
        <v>53280</v>
      </c>
      <c r="AI49" s="1429">
        <f>53280/305131*100</f>
        <v>17.461352664920966</v>
      </c>
      <c r="AJ49" s="1430">
        <v>35610</v>
      </c>
      <c r="AK49" s="1429">
        <f>35610/136509*100</f>
        <v>26.086192119200931</v>
      </c>
      <c r="AL49" s="1430">
        <f>(23717155173+733590)/53280</f>
        <v>445155.56987612613</v>
      </c>
      <c r="AM49" s="1411">
        <v>95.1</v>
      </c>
      <c r="AN49" s="1429">
        <v>26.3</v>
      </c>
      <c r="AO49" s="558">
        <v>26.2</v>
      </c>
      <c r="AP49" s="546"/>
      <c r="AQ49" s="553">
        <v>3143</v>
      </c>
      <c r="AR49" s="1212">
        <v>35</v>
      </c>
      <c r="AS49" s="1458">
        <v>5346</v>
      </c>
      <c r="AT49" s="1458">
        <v>60</v>
      </c>
      <c r="AU49" s="1430">
        <v>4250</v>
      </c>
      <c r="AV49" s="1430">
        <v>51</v>
      </c>
      <c r="AW49" s="1458">
        <v>751</v>
      </c>
      <c r="AX49" s="1458">
        <v>8</v>
      </c>
      <c r="AY49" s="1430">
        <v>10</v>
      </c>
      <c r="AZ49" s="1458">
        <v>634</v>
      </c>
      <c r="BA49" s="1458">
        <v>322</v>
      </c>
      <c r="BB49" s="1458">
        <v>643</v>
      </c>
      <c r="BC49" s="1459">
        <v>295</v>
      </c>
      <c r="BD49" s="553">
        <v>39</v>
      </c>
      <c r="BE49" s="1458">
        <v>1964</v>
      </c>
      <c r="BF49" s="1458">
        <v>1315</v>
      </c>
      <c r="BG49" s="1458">
        <v>1944</v>
      </c>
      <c r="BH49" s="1458">
        <v>1280</v>
      </c>
      <c r="BI49" s="1430">
        <v>6</v>
      </c>
      <c r="BJ49" s="1458">
        <v>601</v>
      </c>
      <c r="BK49" s="1458">
        <v>211</v>
      </c>
      <c r="BL49" s="1458">
        <v>35</v>
      </c>
      <c r="BM49" s="1458">
        <v>459</v>
      </c>
      <c r="BN49" s="1458">
        <v>276</v>
      </c>
      <c r="BO49" s="1459">
        <v>30</v>
      </c>
      <c r="BP49" s="553">
        <v>45</v>
      </c>
      <c r="BQ49" s="1458">
        <v>509</v>
      </c>
      <c r="BR49" s="1458">
        <v>2219</v>
      </c>
      <c r="BS49" s="1458">
        <v>1512</v>
      </c>
      <c r="BT49" s="1458">
        <v>407</v>
      </c>
      <c r="BU49" s="1458">
        <v>2230</v>
      </c>
      <c r="BV49" s="1459">
        <v>1490</v>
      </c>
      <c r="BW49" s="553">
        <v>29</v>
      </c>
      <c r="BX49" s="1212">
        <v>525</v>
      </c>
      <c r="BY49" s="1458">
        <v>460</v>
      </c>
      <c r="BZ49" s="1430">
        <v>44</v>
      </c>
      <c r="CA49" s="559" t="s">
        <v>153</v>
      </c>
      <c r="CB49" s="559">
        <v>5</v>
      </c>
      <c r="CC49" s="550"/>
      <c r="CD49" s="553">
        <v>21</v>
      </c>
      <c r="CE49" s="1430">
        <v>1</v>
      </c>
      <c r="CF49" s="1553">
        <v>3657</v>
      </c>
      <c r="CG49" s="1430">
        <v>329</v>
      </c>
      <c r="CH49" s="560">
        <v>1195.5999999999999</v>
      </c>
      <c r="CI49" s="1430">
        <v>258</v>
      </c>
      <c r="CJ49" s="1459">
        <v>160</v>
      </c>
      <c r="CK49" s="553">
        <v>792</v>
      </c>
      <c r="CL49" s="1429">
        <v>258.89999999999998</v>
      </c>
      <c r="CM49" s="1430">
        <v>233</v>
      </c>
      <c r="CN49" s="1429">
        <v>76.2</v>
      </c>
      <c r="CO49" s="561">
        <v>835</v>
      </c>
      <c r="CP49" s="1432">
        <v>273</v>
      </c>
      <c r="CQ49" s="544"/>
      <c r="CR49" s="562">
        <v>323</v>
      </c>
      <c r="CS49" s="562">
        <v>3106</v>
      </c>
      <c r="CT49" s="562">
        <v>139</v>
      </c>
      <c r="CU49" s="562">
        <v>1846</v>
      </c>
      <c r="CV49" s="562">
        <v>10917</v>
      </c>
      <c r="CW49" s="562">
        <v>3498</v>
      </c>
      <c r="CX49" s="562">
        <v>3169</v>
      </c>
    </row>
    <row r="50" spans="1:102" ht="15.75" customHeight="1">
      <c r="A50" s="779" t="s">
        <v>220</v>
      </c>
      <c r="B50" s="563">
        <v>7746</v>
      </c>
      <c r="C50" s="638">
        <v>16</v>
      </c>
      <c r="D50" s="1393">
        <v>6064</v>
      </c>
      <c r="E50" s="538"/>
      <c r="F50" s="627">
        <v>1</v>
      </c>
      <c r="G50" s="1555">
        <v>50</v>
      </c>
      <c r="H50" s="1555">
        <v>19</v>
      </c>
      <c r="I50" s="1555">
        <v>1748</v>
      </c>
      <c r="J50" s="1555">
        <v>3</v>
      </c>
      <c r="K50" s="1555">
        <v>78</v>
      </c>
      <c r="L50" s="1555" t="s">
        <v>153</v>
      </c>
      <c r="M50" s="1555" t="s">
        <v>153</v>
      </c>
      <c r="N50" s="1379">
        <v>63</v>
      </c>
      <c r="O50" s="1380">
        <v>3494</v>
      </c>
      <c r="P50" s="544">
        <v>1405</v>
      </c>
      <c r="Q50" s="1555">
        <v>7</v>
      </c>
      <c r="R50" s="1379">
        <v>222</v>
      </c>
      <c r="S50" s="1555">
        <v>1</v>
      </c>
      <c r="T50" s="1555">
        <v>9</v>
      </c>
      <c r="U50" s="1379">
        <v>872</v>
      </c>
      <c r="V50" s="1555">
        <v>2</v>
      </c>
      <c r="W50" s="1379">
        <v>74</v>
      </c>
      <c r="X50" s="1555">
        <v>1</v>
      </c>
      <c r="Y50" s="1379">
        <v>10</v>
      </c>
      <c r="Z50" s="1380">
        <v>22</v>
      </c>
      <c r="AA50" s="542"/>
      <c r="AB50" s="627">
        <v>118567</v>
      </c>
      <c r="AC50" s="1555">
        <v>23610</v>
      </c>
      <c r="AD50" s="1555">
        <v>33281144474</v>
      </c>
      <c r="AE50" s="1407">
        <v>99.6</v>
      </c>
      <c r="AF50" s="1380">
        <v>15</v>
      </c>
      <c r="AG50" s="544"/>
      <c r="AH50" s="563">
        <v>78800</v>
      </c>
      <c r="AI50" s="1452">
        <v>16.3</v>
      </c>
      <c r="AJ50" s="1393">
        <v>53958</v>
      </c>
      <c r="AK50" s="1452">
        <v>23.7</v>
      </c>
      <c r="AL50" s="1393">
        <v>421286</v>
      </c>
      <c r="AM50" s="1471">
        <v>94.5</v>
      </c>
      <c r="AN50" s="1452">
        <v>35.700000000000003</v>
      </c>
      <c r="AO50" s="1452">
        <v>44.2</v>
      </c>
      <c r="AP50" s="546"/>
      <c r="AQ50" s="563">
        <v>1162</v>
      </c>
      <c r="AR50" s="1462">
        <f>AQ50/11710*100</f>
        <v>9.9231426131511533</v>
      </c>
      <c r="AS50" s="1462">
        <v>4973</v>
      </c>
      <c r="AT50" s="1462">
        <f>AS50/11710*100</f>
        <v>42.467976088812982</v>
      </c>
      <c r="AU50" s="1393">
        <v>3894</v>
      </c>
      <c r="AV50" s="1393">
        <f>AU50/10437*100</f>
        <v>37.309571716010346</v>
      </c>
      <c r="AW50" s="1462">
        <v>2042</v>
      </c>
      <c r="AX50" s="1462">
        <f>AW50/11710*100</f>
        <v>17.438087105038431</v>
      </c>
      <c r="AY50" s="1393">
        <v>23</v>
      </c>
      <c r="AZ50" s="1462">
        <v>1518</v>
      </c>
      <c r="BA50" s="1462">
        <v>754</v>
      </c>
      <c r="BB50" s="1462">
        <v>1472</v>
      </c>
      <c r="BC50" s="1451">
        <v>825</v>
      </c>
      <c r="BD50" s="563">
        <v>30</v>
      </c>
      <c r="BE50" s="1462">
        <v>1317</v>
      </c>
      <c r="BF50" s="1462">
        <v>966</v>
      </c>
      <c r="BG50" s="1462">
        <v>1282</v>
      </c>
      <c r="BH50" s="1462">
        <v>1031</v>
      </c>
      <c r="BI50" s="1393" t="s">
        <v>148</v>
      </c>
      <c r="BJ50" s="1462" t="s">
        <v>148</v>
      </c>
      <c r="BK50" s="1462" t="s">
        <v>148</v>
      </c>
      <c r="BL50" s="1462" t="s">
        <v>148</v>
      </c>
      <c r="BM50" s="1462" t="s">
        <v>148</v>
      </c>
      <c r="BN50" s="1462" t="s">
        <v>148</v>
      </c>
      <c r="BO50" s="1451" t="s">
        <v>148</v>
      </c>
      <c r="BP50" s="563">
        <v>36</v>
      </c>
      <c r="BQ50" s="1462">
        <v>1491</v>
      </c>
      <c r="BR50" s="1462">
        <v>2085</v>
      </c>
      <c r="BS50" s="1462">
        <v>1379</v>
      </c>
      <c r="BT50" s="1462">
        <v>1046</v>
      </c>
      <c r="BU50" s="1462">
        <v>2158</v>
      </c>
      <c r="BV50" s="1451">
        <v>1340</v>
      </c>
      <c r="BW50" s="563">
        <v>60</v>
      </c>
      <c r="BX50" s="550">
        <v>815</v>
      </c>
      <c r="BY50" s="1462">
        <v>683</v>
      </c>
      <c r="BZ50" s="1393">
        <v>56</v>
      </c>
      <c r="CA50" s="1058">
        <v>8</v>
      </c>
      <c r="CB50" s="1058">
        <v>20</v>
      </c>
      <c r="CC50" s="550"/>
      <c r="CD50" s="563">
        <v>25</v>
      </c>
      <c r="CE50" s="1393">
        <v>1</v>
      </c>
      <c r="CF50" s="1578">
        <v>5174</v>
      </c>
      <c r="CG50" s="1393">
        <v>257</v>
      </c>
      <c r="CH50" s="1227">
        <v>1070</v>
      </c>
      <c r="CI50" s="1393">
        <v>558</v>
      </c>
      <c r="CJ50" s="1451">
        <v>279</v>
      </c>
      <c r="CK50" s="563">
        <v>1771</v>
      </c>
      <c r="CL50" s="1452">
        <v>366.2</v>
      </c>
      <c r="CM50" s="1393">
        <v>372</v>
      </c>
      <c r="CN50" s="1452">
        <v>76.900000000000006</v>
      </c>
      <c r="CO50" s="635">
        <v>1516</v>
      </c>
      <c r="CP50" s="1453">
        <v>313.5</v>
      </c>
      <c r="CQ50" s="544"/>
      <c r="CR50" s="1228">
        <v>627</v>
      </c>
      <c r="CS50" s="1228">
        <v>3836</v>
      </c>
      <c r="CT50" s="1228">
        <v>231</v>
      </c>
      <c r="CU50" s="1228">
        <v>2783</v>
      </c>
      <c r="CV50" s="1228">
        <v>15304</v>
      </c>
      <c r="CW50" s="1228">
        <v>4743</v>
      </c>
      <c r="CX50" s="1228">
        <v>4306</v>
      </c>
    </row>
    <row r="51" spans="1:102" ht="15.75" customHeight="1">
      <c r="A51" s="795" t="s">
        <v>221</v>
      </c>
      <c r="B51" s="553">
        <v>6935</v>
      </c>
      <c r="C51" s="521">
        <v>19.78</v>
      </c>
      <c r="D51" s="1430">
        <v>5412</v>
      </c>
      <c r="E51" s="538"/>
      <c r="F51" s="554">
        <v>1</v>
      </c>
      <c r="G51" s="1537">
        <v>125</v>
      </c>
      <c r="H51" s="1537">
        <v>24</v>
      </c>
      <c r="I51" s="1537">
        <v>1652</v>
      </c>
      <c r="J51" s="1537" t="s">
        <v>148</v>
      </c>
      <c r="K51" s="1537" t="s">
        <v>148</v>
      </c>
      <c r="L51" s="1537">
        <v>2</v>
      </c>
      <c r="M51" s="1537">
        <v>120</v>
      </c>
      <c r="N51" s="1539">
        <v>85</v>
      </c>
      <c r="O51" s="1431">
        <v>3811</v>
      </c>
      <c r="P51" s="556">
        <v>1491</v>
      </c>
      <c r="Q51" s="1537">
        <v>11</v>
      </c>
      <c r="R51" s="1539">
        <v>340</v>
      </c>
      <c r="S51" s="1537">
        <v>4</v>
      </c>
      <c r="T51" s="1537">
        <v>11</v>
      </c>
      <c r="U51" s="1539">
        <v>1098</v>
      </c>
      <c r="V51" s="1537">
        <v>2</v>
      </c>
      <c r="W51" s="1539">
        <v>200</v>
      </c>
      <c r="X51" s="1537" t="s">
        <v>148</v>
      </c>
      <c r="Y51" s="1539" t="s">
        <v>148</v>
      </c>
      <c r="Z51" s="1431">
        <v>18</v>
      </c>
      <c r="AA51" s="542"/>
      <c r="AB51" s="554">
        <v>111222</v>
      </c>
      <c r="AC51" s="1537">
        <v>23018</v>
      </c>
      <c r="AD51" s="1537">
        <v>31590711757</v>
      </c>
      <c r="AE51" s="1408">
        <v>99.34</v>
      </c>
      <c r="AF51" s="1431">
        <v>13</v>
      </c>
      <c r="AG51" s="544"/>
      <c r="AH51" s="553">
        <v>67857</v>
      </c>
      <c r="AI51" s="1429">
        <v>19.37</v>
      </c>
      <c r="AJ51" s="1430">
        <v>45373</v>
      </c>
      <c r="AK51" s="1429">
        <v>27.18</v>
      </c>
      <c r="AL51" s="1430">
        <v>426247</v>
      </c>
      <c r="AM51" s="1411">
        <v>94.97</v>
      </c>
      <c r="AN51" s="1429">
        <v>35.6</v>
      </c>
      <c r="AO51" s="558">
        <v>12.1</v>
      </c>
      <c r="AP51" s="546"/>
      <c r="AQ51" s="553">
        <v>1726</v>
      </c>
      <c r="AR51" s="1212">
        <v>27.8</v>
      </c>
      <c r="AS51" s="1458">
        <v>3769</v>
      </c>
      <c r="AT51" s="1458">
        <v>51.8</v>
      </c>
      <c r="AU51" s="1430">
        <v>2449</v>
      </c>
      <c r="AV51" s="1430">
        <v>39.5</v>
      </c>
      <c r="AW51" s="1458">
        <v>384</v>
      </c>
      <c r="AX51" s="1458">
        <v>6.4</v>
      </c>
      <c r="AY51" s="1430">
        <v>4</v>
      </c>
      <c r="AZ51" s="1458">
        <v>358</v>
      </c>
      <c r="BA51" s="1458">
        <v>262</v>
      </c>
      <c r="BB51" s="1458">
        <v>247</v>
      </c>
      <c r="BC51" s="1459">
        <v>153</v>
      </c>
      <c r="BD51" s="553">
        <v>24</v>
      </c>
      <c r="BE51" s="1458">
        <v>1536</v>
      </c>
      <c r="BF51" s="1458">
        <v>1243</v>
      </c>
      <c r="BG51" s="1458">
        <v>1517</v>
      </c>
      <c r="BH51" s="1458">
        <v>1092</v>
      </c>
      <c r="BI51" s="1430">
        <v>18</v>
      </c>
      <c r="BJ51" s="1458">
        <v>1420</v>
      </c>
      <c r="BK51" s="1458">
        <v>905</v>
      </c>
      <c r="BL51" s="1458">
        <v>515</v>
      </c>
      <c r="BM51" s="1458">
        <v>901</v>
      </c>
      <c r="BN51" s="1458">
        <v>709</v>
      </c>
      <c r="BO51" s="1459">
        <v>290</v>
      </c>
      <c r="BP51" s="553">
        <v>21</v>
      </c>
      <c r="BQ51" s="1458">
        <v>810</v>
      </c>
      <c r="BR51" s="1458">
        <v>1387</v>
      </c>
      <c r="BS51" s="1458">
        <v>1011</v>
      </c>
      <c r="BT51" s="1458">
        <v>633</v>
      </c>
      <c r="BU51" s="1458">
        <v>1246</v>
      </c>
      <c r="BV51" s="1459">
        <v>790</v>
      </c>
      <c r="BW51" s="553">
        <v>7</v>
      </c>
      <c r="BX51" s="1212">
        <v>131</v>
      </c>
      <c r="BY51" s="1458">
        <v>93</v>
      </c>
      <c r="BZ51" s="1430">
        <v>16</v>
      </c>
      <c r="CA51" s="559">
        <v>4</v>
      </c>
      <c r="CB51" s="559">
        <v>16</v>
      </c>
      <c r="CC51" s="550"/>
      <c r="CD51" s="553">
        <v>22</v>
      </c>
      <c r="CE51" s="1430">
        <v>1</v>
      </c>
      <c r="CF51" s="1553">
        <v>4264</v>
      </c>
      <c r="CG51" s="1430">
        <v>350</v>
      </c>
      <c r="CH51" s="560">
        <v>1217.2</v>
      </c>
      <c r="CI51" s="1430">
        <v>401</v>
      </c>
      <c r="CJ51" s="1459">
        <v>194</v>
      </c>
      <c r="CK51" s="553">
        <v>1034</v>
      </c>
      <c r="CL51" s="1429">
        <v>295.2</v>
      </c>
      <c r="CM51" s="1430">
        <v>275</v>
      </c>
      <c r="CN51" s="1429">
        <v>78.5</v>
      </c>
      <c r="CO51" s="561">
        <v>1001</v>
      </c>
      <c r="CP51" s="1432">
        <v>285.7</v>
      </c>
      <c r="CQ51" s="544"/>
      <c r="CR51" s="562">
        <v>682</v>
      </c>
      <c r="CS51" s="562">
        <v>3882</v>
      </c>
      <c r="CT51" s="562">
        <v>164</v>
      </c>
      <c r="CU51" s="562">
        <v>2383</v>
      </c>
      <c r="CV51" s="562">
        <v>13222</v>
      </c>
      <c r="CW51" s="562">
        <v>3207</v>
      </c>
      <c r="CX51" s="562">
        <v>4562</v>
      </c>
    </row>
    <row r="52" spans="1:102" ht="15.75" customHeight="1">
      <c r="A52" s="779" t="s">
        <v>223</v>
      </c>
      <c r="B52" s="563">
        <v>8781</v>
      </c>
      <c r="C52" s="638">
        <v>25.16</v>
      </c>
      <c r="D52" s="1393">
        <v>7429</v>
      </c>
      <c r="E52" s="538"/>
      <c r="F52" s="627">
        <v>3</v>
      </c>
      <c r="G52" s="1555">
        <v>200</v>
      </c>
      <c r="H52" s="1555">
        <v>22</v>
      </c>
      <c r="I52" s="1555">
        <v>1399</v>
      </c>
      <c r="J52" s="1555">
        <v>13</v>
      </c>
      <c r="K52" s="1555">
        <v>377</v>
      </c>
      <c r="L52" s="1555" t="s">
        <v>153</v>
      </c>
      <c r="M52" s="1555" t="s">
        <v>153</v>
      </c>
      <c r="N52" s="1379">
        <v>182</v>
      </c>
      <c r="O52" s="1380">
        <v>4895</v>
      </c>
      <c r="P52" s="544">
        <v>2284</v>
      </c>
      <c r="Q52" s="1555">
        <v>9</v>
      </c>
      <c r="R52" s="1379">
        <v>342</v>
      </c>
      <c r="S52" s="1555" t="s">
        <v>153</v>
      </c>
      <c r="T52" s="1555">
        <v>13</v>
      </c>
      <c r="U52" s="1379">
        <v>1053</v>
      </c>
      <c r="V52" s="1555">
        <v>3</v>
      </c>
      <c r="W52" s="1379">
        <v>92</v>
      </c>
      <c r="X52" s="1555">
        <v>2</v>
      </c>
      <c r="Y52" s="1379">
        <v>29</v>
      </c>
      <c r="Z52" s="1380" t="s">
        <v>153</v>
      </c>
      <c r="AA52" s="542"/>
      <c r="AB52" s="627">
        <v>110463</v>
      </c>
      <c r="AC52" s="1555">
        <v>26828</v>
      </c>
      <c r="AD52" s="1555">
        <v>36016932173</v>
      </c>
      <c r="AE52" s="1407">
        <v>99.3</v>
      </c>
      <c r="AF52" s="1380">
        <v>15</v>
      </c>
      <c r="AG52" s="544"/>
      <c r="AH52" s="563">
        <v>71667</v>
      </c>
      <c r="AI52" s="1452">
        <f>AH52/358203*100</f>
        <v>20.007370122528286</v>
      </c>
      <c r="AJ52" s="1393">
        <v>47848</v>
      </c>
      <c r="AK52" s="1452">
        <f>AJ52/176486*100</f>
        <v>27.111498929093525</v>
      </c>
      <c r="AL52" s="1393">
        <f>(32037655340+(-38890))/74646</f>
        <v>429194.01508453232</v>
      </c>
      <c r="AM52" s="1471">
        <f>5923169157/(6392065540-2208370)*100</f>
        <v>92.696424965630328</v>
      </c>
      <c r="AN52" s="1452">
        <v>36.5</v>
      </c>
      <c r="AO52" s="1237">
        <v>26</v>
      </c>
      <c r="AP52" s="546"/>
      <c r="AQ52" s="563">
        <v>1928</v>
      </c>
      <c r="AR52" s="550">
        <v>25</v>
      </c>
      <c r="AS52" s="1462">
        <v>4476</v>
      </c>
      <c r="AT52" s="1462">
        <v>57</v>
      </c>
      <c r="AU52" s="1393">
        <v>2463</v>
      </c>
      <c r="AV52" s="1393">
        <v>35</v>
      </c>
      <c r="AW52" s="1462">
        <v>739</v>
      </c>
      <c r="AX52" s="1462">
        <v>9</v>
      </c>
      <c r="AY52" s="1393">
        <v>13</v>
      </c>
      <c r="AZ52" s="1462">
        <v>625</v>
      </c>
      <c r="BA52" s="1462">
        <v>313</v>
      </c>
      <c r="BB52" s="1462">
        <v>535</v>
      </c>
      <c r="BC52" s="1451">
        <v>243</v>
      </c>
      <c r="BD52" s="563">
        <v>17</v>
      </c>
      <c r="BE52" s="1462">
        <v>1464</v>
      </c>
      <c r="BF52" s="1462">
        <v>849</v>
      </c>
      <c r="BG52" s="1462">
        <v>1390</v>
      </c>
      <c r="BH52" s="1462">
        <v>812</v>
      </c>
      <c r="BI52" s="1393">
        <v>2</v>
      </c>
      <c r="BJ52" s="1462">
        <v>66</v>
      </c>
      <c r="BK52" s="1462">
        <v>131</v>
      </c>
      <c r="BL52" s="1462">
        <v>69</v>
      </c>
      <c r="BM52" s="1462">
        <v>21</v>
      </c>
      <c r="BN52" s="1462">
        <v>129</v>
      </c>
      <c r="BO52" s="1451">
        <v>58</v>
      </c>
      <c r="BP52" s="563">
        <v>29</v>
      </c>
      <c r="BQ52" s="1462">
        <v>1437</v>
      </c>
      <c r="BR52" s="1462">
        <v>2439</v>
      </c>
      <c r="BS52" s="1462">
        <v>1644</v>
      </c>
      <c r="BT52" s="1462">
        <v>1046</v>
      </c>
      <c r="BU52" s="1462">
        <v>2318</v>
      </c>
      <c r="BV52" s="1451">
        <v>1347</v>
      </c>
      <c r="BW52" s="563" t="s">
        <v>153</v>
      </c>
      <c r="BX52" s="550" t="s">
        <v>153</v>
      </c>
      <c r="BY52" s="1462" t="s">
        <v>153</v>
      </c>
      <c r="BZ52" s="1393">
        <v>39</v>
      </c>
      <c r="CA52" s="1058">
        <v>8</v>
      </c>
      <c r="CB52" s="1058">
        <v>10</v>
      </c>
      <c r="CC52" s="550"/>
      <c r="CD52" s="563">
        <v>37</v>
      </c>
      <c r="CE52" s="1393" t="s">
        <v>153</v>
      </c>
      <c r="CF52" s="1578">
        <v>5455</v>
      </c>
      <c r="CG52" s="1393" t="s">
        <v>153</v>
      </c>
      <c r="CH52" s="1227">
        <v>1522.9</v>
      </c>
      <c r="CI52" s="1393">
        <v>429</v>
      </c>
      <c r="CJ52" s="1451">
        <v>225</v>
      </c>
      <c r="CK52" s="563">
        <v>1656</v>
      </c>
      <c r="CL52" s="1452">
        <v>462.3</v>
      </c>
      <c r="CM52" s="1393">
        <v>327</v>
      </c>
      <c r="CN52" s="1452">
        <v>91.3</v>
      </c>
      <c r="CO52" s="635">
        <v>1238</v>
      </c>
      <c r="CP52" s="1453">
        <v>345.6</v>
      </c>
      <c r="CQ52" s="544"/>
      <c r="CR52" s="1228">
        <v>666</v>
      </c>
      <c r="CS52" s="1228">
        <v>4047</v>
      </c>
      <c r="CT52" s="1228">
        <v>162</v>
      </c>
      <c r="CU52" s="1228">
        <v>1142</v>
      </c>
      <c r="CV52" s="1228">
        <v>16646</v>
      </c>
      <c r="CW52" s="1228">
        <v>3711</v>
      </c>
      <c r="CX52" s="1228">
        <v>3790</v>
      </c>
    </row>
    <row r="53" spans="1:102" ht="15.75" customHeight="1">
      <c r="A53" s="795" t="s">
        <v>276</v>
      </c>
      <c r="B53" s="553">
        <v>2725</v>
      </c>
      <c r="C53" s="521">
        <v>14.5</v>
      </c>
      <c r="D53" s="1430">
        <v>2138</v>
      </c>
      <c r="E53" s="538"/>
      <c r="F53" s="554">
        <v>1</v>
      </c>
      <c r="G53" s="1537">
        <v>90</v>
      </c>
      <c r="H53" s="1537">
        <v>16</v>
      </c>
      <c r="I53" s="1537">
        <v>1046</v>
      </c>
      <c r="J53" s="1537">
        <v>1</v>
      </c>
      <c r="K53" s="1537">
        <v>10</v>
      </c>
      <c r="L53" s="1537" t="s">
        <v>153</v>
      </c>
      <c r="M53" s="1537" t="s">
        <v>153</v>
      </c>
      <c r="N53" s="1539">
        <v>45</v>
      </c>
      <c r="O53" s="1431">
        <v>1189</v>
      </c>
      <c r="P53" s="556">
        <v>687</v>
      </c>
      <c r="Q53" s="1537">
        <v>7</v>
      </c>
      <c r="R53" s="1539">
        <v>275</v>
      </c>
      <c r="S53" s="1537">
        <v>7</v>
      </c>
      <c r="T53" s="1537">
        <v>12</v>
      </c>
      <c r="U53" s="1539">
        <v>775</v>
      </c>
      <c r="V53" s="1537">
        <v>5</v>
      </c>
      <c r="W53" s="1539">
        <v>250</v>
      </c>
      <c r="X53" s="1537" t="s">
        <v>153</v>
      </c>
      <c r="Y53" s="1539" t="s">
        <v>153</v>
      </c>
      <c r="Z53" s="1431">
        <v>19</v>
      </c>
      <c r="AA53" s="542"/>
      <c r="AB53" s="554">
        <v>55427</v>
      </c>
      <c r="AC53" s="1537">
        <v>10951</v>
      </c>
      <c r="AD53" s="1537">
        <v>17376102964</v>
      </c>
      <c r="AE53" s="1408">
        <v>98.7</v>
      </c>
      <c r="AF53" s="1431">
        <v>10</v>
      </c>
      <c r="AG53" s="544"/>
      <c r="AH53" s="553">
        <v>34158</v>
      </c>
      <c r="AI53" s="1429">
        <f>34158/182163*100</f>
        <v>18.7513380873174</v>
      </c>
      <c r="AJ53" s="1430">
        <v>22917</v>
      </c>
      <c r="AK53" s="1429">
        <f>22917/81625*100</f>
        <v>28.075957120980092</v>
      </c>
      <c r="AL53" s="1430">
        <f>(15101917916-20300)/34158</f>
        <v>442118.90672756016</v>
      </c>
      <c r="AM53" s="1411">
        <v>95.72</v>
      </c>
      <c r="AN53" s="1429">
        <v>34.5</v>
      </c>
      <c r="AO53" s="558">
        <v>30.6</v>
      </c>
      <c r="AP53" s="546"/>
      <c r="AQ53" s="553">
        <v>732</v>
      </c>
      <c r="AR53" s="1212">
        <v>17</v>
      </c>
      <c r="AS53" s="1458">
        <v>3196</v>
      </c>
      <c r="AT53" s="1458">
        <v>75</v>
      </c>
      <c r="AU53" s="1430">
        <v>2184</v>
      </c>
      <c r="AV53" s="1430">
        <v>56</v>
      </c>
      <c r="AW53" s="1458">
        <v>306</v>
      </c>
      <c r="AX53" s="1458">
        <v>7</v>
      </c>
      <c r="AY53" s="1430">
        <v>23</v>
      </c>
      <c r="AZ53" s="1458">
        <v>1291</v>
      </c>
      <c r="BA53" s="1458">
        <v>929</v>
      </c>
      <c r="BB53" s="1458">
        <v>958</v>
      </c>
      <c r="BC53" s="1459">
        <v>613</v>
      </c>
      <c r="BD53" s="553">
        <v>16</v>
      </c>
      <c r="BE53" s="1458">
        <v>1154</v>
      </c>
      <c r="BF53" s="1458">
        <v>869</v>
      </c>
      <c r="BG53" s="1458">
        <v>1110</v>
      </c>
      <c r="BH53" s="1458">
        <v>759</v>
      </c>
      <c r="BI53" s="1430" t="s">
        <v>153</v>
      </c>
      <c r="BJ53" s="1458" t="s">
        <v>153</v>
      </c>
      <c r="BK53" s="1458" t="s">
        <v>153</v>
      </c>
      <c r="BL53" s="1458" t="s">
        <v>153</v>
      </c>
      <c r="BM53" s="1458" t="s">
        <v>153</v>
      </c>
      <c r="BN53" s="1458" t="s">
        <v>153</v>
      </c>
      <c r="BO53" s="1459" t="s">
        <v>153</v>
      </c>
      <c r="BP53" s="553">
        <v>16</v>
      </c>
      <c r="BQ53" s="1458">
        <v>1076</v>
      </c>
      <c r="BR53" s="1458">
        <v>1169</v>
      </c>
      <c r="BS53" s="1458">
        <v>784</v>
      </c>
      <c r="BT53" s="1458">
        <v>569</v>
      </c>
      <c r="BU53" s="1458">
        <v>1108</v>
      </c>
      <c r="BV53" s="1459">
        <v>665</v>
      </c>
      <c r="BW53" s="553">
        <v>12</v>
      </c>
      <c r="BX53" s="1212">
        <v>191</v>
      </c>
      <c r="BY53" s="1458">
        <v>123</v>
      </c>
      <c r="BZ53" s="1430">
        <v>0</v>
      </c>
      <c r="CA53" s="559">
        <v>12</v>
      </c>
      <c r="CB53" s="559">
        <v>13</v>
      </c>
      <c r="CC53" s="550"/>
      <c r="CD53" s="553">
        <v>12</v>
      </c>
      <c r="CE53" s="1430">
        <v>1</v>
      </c>
      <c r="CF53" s="1553">
        <v>3114</v>
      </c>
      <c r="CG53" s="1430">
        <v>340</v>
      </c>
      <c r="CH53" s="560">
        <v>1686</v>
      </c>
      <c r="CI53" s="1430">
        <v>155</v>
      </c>
      <c r="CJ53" s="1459">
        <v>97</v>
      </c>
      <c r="CK53" s="553">
        <v>568</v>
      </c>
      <c r="CL53" s="1429">
        <v>307</v>
      </c>
      <c r="CM53" s="1430">
        <v>137</v>
      </c>
      <c r="CN53" s="1429">
        <v>74</v>
      </c>
      <c r="CO53" s="561">
        <v>444</v>
      </c>
      <c r="CP53" s="1432">
        <v>240</v>
      </c>
      <c r="CQ53" s="544"/>
      <c r="CR53" s="562">
        <v>213</v>
      </c>
      <c r="CS53" s="562">
        <v>2302</v>
      </c>
      <c r="CT53" s="562">
        <v>69</v>
      </c>
      <c r="CU53" s="562">
        <v>515</v>
      </c>
      <c r="CV53" s="562">
        <v>6634</v>
      </c>
      <c r="CW53" s="562">
        <v>1892</v>
      </c>
      <c r="CX53" s="562">
        <v>2690</v>
      </c>
    </row>
    <row r="54" spans="1:102" ht="15.75" customHeight="1">
      <c r="A54" s="779" t="s">
        <v>277</v>
      </c>
      <c r="B54" s="563">
        <v>2624</v>
      </c>
      <c r="C54" s="638">
        <v>13.1</v>
      </c>
      <c r="D54" s="1523">
        <v>2108</v>
      </c>
      <c r="E54" s="538"/>
      <c r="F54" s="627">
        <v>2</v>
      </c>
      <c r="G54" s="1555">
        <v>110</v>
      </c>
      <c r="H54" s="1555">
        <v>18</v>
      </c>
      <c r="I54" s="1555">
        <v>1070</v>
      </c>
      <c r="J54" s="1555">
        <v>6</v>
      </c>
      <c r="K54" s="1555">
        <v>174</v>
      </c>
      <c r="L54" s="1555" t="s">
        <v>153</v>
      </c>
      <c r="M54" s="1555" t="s">
        <v>153</v>
      </c>
      <c r="N54" s="1379">
        <v>36</v>
      </c>
      <c r="O54" s="1380">
        <v>1221</v>
      </c>
      <c r="P54" s="544">
        <v>1075</v>
      </c>
      <c r="Q54" s="1555">
        <v>6</v>
      </c>
      <c r="R54" s="1379">
        <v>500</v>
      </c>
      <c r="S54" s="1555" t="s">
        <v>153</v>
      </c>
      <c r="T54" s="1555">
        <v>8</v>
      </c>
      <c r="U54" s="1379">
        <v>617</v>
      </c>
      <c r="V54" s="1555">
        <v>2</v>
      </c>
      <c r="W54" s="1379">
        <v>236</v>
      </c>
      <c r="X54" s="1555" t="s">
        <v>153</v>
      </c>
      <c r="Y54" s="1379" t="s">
        <v>153</v>
      </c>
      <c r="Z54" s="1380" t="s">
        <v>153</v>
      </c>
      <c r="AA54" s="542"/>
      <c r="AB54" s="627">
        <v>59453</v>
      </c>
      <c r="AC54" s="1555">
        <v>11801</v>
      </c>
      <c r="AD54" s="1555">
        <v>19202216299</v>
      </c>
      <c r="AE54" s="1407">
        <v>98.3</v>
      </c>
      <c r="AF54" s="1380">
        <v>6</v>
      </c>
      <c r="AG54" s="544"/>
      <c r="AH54" s="563">
        <v>31604</v>
      </c>
      <c r="AI54" s="1452">
        <v>16.100000000000001</v>
      </c>
      <c r="AJ54" s="1393">
        <v>22068</v>
      </c>
      <c r="AK54" s="1452">
        <v>24.2</v>
      </c>
      <c r="AL54" s="1393">
        <v>472444</v>
      </c>
      <c r="AM54" s="1471">
        <v>95.7</v>
      </c>
      <c r="AN54" s="1452">
        <v>45.8</v>
      </c>
      <c r="AO54" s="1237">
        <v>33.200000000000003</v>
      </c>
      <c r="AP54" s="546"/>
      <c r="AQ54" s="563">
        <v>1054</v>
      </c>
      <c r="AR54" s="1384">
        <v>22.9</v>
      </c>
      <c r="AS54" s="1462">
        <v>3481</v>
      </c>
      <c r="AT54" s="1597">
        <v>75.599999999999994</v>
      </c>
      <c r="AU54" s="1393">
        <v>2857</v>
      </c>
      <c r="AV54" s="1598">
        <v>66.3</v>
      </c>
      <c r="AW54" s="1462">
        <v>520</v>
      </c>
      <c r="AX54" s="1597">
        <v>11.3</v>
      </c>
      <c r="AY54" s="1393">
        <v>16</v>
      </c>
      <c r="AZ54" s="1462">
        <v>704</v>
      </c>
      <c r="BA54" s="1462">
        <v>616</v>
      </c>
      <c r="BB54" s="1462">
        <v>446</v>
      </c>
      <c r="BC54" s="1451">
        <v>473</v>
      </c>
      <c r="BD54" s="563">
        <v>49</v>
      </c>
      <c r="BE54" s="1462">
        <v>2164</v>
      </c>
      <c r="BF54" s="1462">
        <v>1998</v>
      </c>
      <c r="BG54" s="1462">
        <v>2263</v>
      </c>
      <c r="BH54" s="1462">
        <v>1806</v>
      </c>
      <c r="BI54" s="1393" t="s">
        <v>153</v>
      </c>
      <c r="BJ54" s="1462" t="s">
        <v>153</v>
      </c>
      <c r="BK54" s="1462" t="s">
        <v>153</v>
      </c>
      <c r="BL54" s="1462" t="s">
        <v>153</v>
      </c>
      <c r="BM54" s="1462" t="s">
        <v>153</v>
      </c>
      <c r="BN54" s="1462" t="s">
        <v>153</v>
      </c>
      <c r="BO54" s="1451" t="s">
        <v>153</v>
      </c>
      <c r="BP54" s="563">
        <v>17</v>
      </c>
      <c r="BQ54" s="1462">
        <v>272</v>
      </c>
      <c r="BR54" s="1462">
        <v>806</v>
      </c>
      <c r="BS54" s="1462">
        <v>488</v>
      </c>
      <c r="BT54" s="1462">
        <v>225</v>
      </c>
      <c r="BU54" s="1462">
        <v>681</v>
      </c>
      <c r="BV54" s="1451">
        <v>439</v>
      </c>
      <c r="BW54" s="563">
        <v>4</v>
      </c>
      <c r="BX54" s="550">
        <v>71</v>
      </c>
      <c r="BY54" s="1462">
        <v>60</v>
      </c>
      <c r="BZ54" s="1393">
        <v>0</v>
      </c>
      <c r="CA54" s="1058">
        <v>2</v>
      </c>
      <c r="CB54" s="1058">
        <v>9</v>
      </c>
      <c r="CC54" s="550"/>
      <c r="CD54" s="563">
        <v>11</v>
      </c>
      <c r="CE54" s="1393">
        <v>1</v>
      </c>
      <c r="CF54" s="1578">
        <v>3096</v>
      </c>
      <c r="CG54" s="1393">
        <v>470</v>
      </c>
      <c r="CH54" s="1227">
        <v>1573.6</v>
      </c>
      <c r="CI54" s="1393">
        <v>223</v>
      </c>
      <c r="CJ54" s="1451">
        <v>80</v>
      </c>
      <c r="CK54" s="563">
        <v>621</v>
      </c>
      <c r="CL54" s="1452">
        <v>315.60000000000002</v>
      </c>
      <c r="CM54" s="1393">
        <v>136</v>
      </c>
      <c r="CN54" s="1452">
        <v>69.099999999999994</v>
      </c>
      <c r="CO54" s="635">
        <v>467</v>
      </c>
      <c r="CP54" s="1453">
        <v>237.4</v>
      </c>
      <c r="CQ54" s="544"/>
      <c r="CR54" s="1228">
        <v>305</v>
      </c>
      <c r="CS54" s="1228">
        <v>2529</v>
      </c>
      <c r="CT54" s="1228">
        <v>79</v>
      </c>
      <c r="CU54" s="1228">
        <v>690</v>
      </c>
      <c r="CV54" s="1228">
        <v>7887</v>
      </c>
      <c r="CW54" s="1228">
        <v>2334</v>
      </c>
      <c r="CX54" s="1228">
        <v>2888</v>
      </c>
    </row>
    <row r="55" spans="1:102" ht="15.75" customHeight="1">
      <c r="A55" s="795" t="s">
        <v>226</v>
      </c>
      <c r="B55" s="553">
        <v>7052</v>
      </c>
      <c r="C55" s="521">
        <v>14.8</v>
      </c>
      <c r="D55" s="1430">
        <v>5436</v>
      </c>
      <c r="E55" s="538"/>
      <c r="F55" s="554">
        <v>2</v>
      </c>
      <c r="G55" s="1537">
        <v>180</v>
      </c>
      <c r="H55" s="1537">
        <v>24</v>
      </c>
      <c r="I55" s="1537">
        <v>1665</v>
      </c>
      <c r="J55" s="1537">
        <v>17</v>
      </c>
      <c r="K55" s="1537">
        <v>468</v>
      </c>
      <c r="L55" s="1537" t="s">
        <v>153</v>
      </c>
      <c r="M55" s="1537" t="s">
        <v>153</v>
      </c>
      <c r="N55" s="1539">
        <v>87</v>
      </c>
      <c r="O55" s="1431">
        <v>3354</v>
      </c>
      <c r="P55" s="556">
        <v>1381</v>
      </c>
      <c r="Q55" s="1537">
        <v>11</v>
      </c>
      <c r="R55" s="1539">
        <v>521</v>
      </c>
      <c r="S55" s="1537">
        <v>4</v>
      </c>
      <c r="T55" s="1537">
        <v>15</v>
      </c>
      <c r="U55" s="1539">
        <v>1350</v>
      </c>
      <c r="V55" s="1537">
        <v>3</v>
      </c>
      <c r="W55" s="1539">
        <v>156</v>
      </c>
      <c r="X55" s="1537">
        <v>1</v>
      </c>
      <c r="Y55" s="1539">
        <v>96</v>
      </c>
      <c r="Z55" s="1431">
        <v>36</v>
      </c>
      <c r="AA55" s="542"/>
      <c r="AB55" s="554">
        <v>132734</v>
      </c>
      <c r="AC55" s="1537">
        <v>29328</v>
      </c>
      <c r="AD55" s="1537">
        <v>41065746222</v>
      </c>
      <c r="AE55" s="1408">
        <v>98.8</v>
      </c>
      <c r="AF55" s="1431">
        <v>25</v>
      </c>
      <c r="AG55" s="544"/>
      <c r="AH55" s="553">
        <v>82847</v>
      </c>
      <c r="AI55" s="1429">
        <v>17.399999999999999</v>
      </c>
      <c r="AJ55" s="1430">
        <v>55583</v>
      </c>
      <c r="AK55" s="1429">
        <v>25.4</v>
      </c>
      <c r="AL55" s="1430">
        <v>437034</v>
      </c>
      <c r="AM55" s="1411">
        <v>95.1</v>
      </c>
      <c r="AN55" s="1429">
        <v>27.1</v>
      </c>
      <c r="AO55" s="558">
        <v>13.7</v>
      </c>
      <c r="AP55" s="546"/>
      <c r="AQ55" s="1269">
        <v>1553</v>
      </c>
      <c r="AR55" s="1430">
        <v>13</v>
      </c>
      <c r="AS55" s="1458">
        <v>6533</v>
      </c>
      <c r="AT55" s="1458">
        <v>55</v>
      </c>
      <c r="AU55" s="1430">
        <v>5155</v>
      </c>
      <c r="AV55" s="1430">
        <v>47</v>
      </c>
      <c r="AW55" s="1458">
        <v>1454</v>
      </c>
      <c r="AX55" s="1458">
        <v>12</v>
      </c>
      <c r="AY55" s="1430">
        <v>11</v>
      </c>
      <c r="AZ55" s="1458">
        <v>1143</v>
      </c>
      <c r="BA55" s="1458">
        <v>612</v>
      </c>
      <c r="BB55" s="1458">
        <v>889</v>
      </c>
      <c r="BC55" s="1459">
        <v>463</v>
      </c>
      <c r="BD55" s="553">
        <v>57</v>
      </c>
      <c r="BE55" s="1458">
        <v>3222</v>
      </c>
      <c r="BF55" s="1458">
        <v>2728</v>
      </c>
      <c r="BG55" s="1458">
        <v>3180</v>
      </c>
      <c r="BH55" s="1458">
        <v>2476</v>
      </c>
      <c r="BI55" s="1430">
        <v>8</v>
      </c>
      <c r="BJ55" s="1458">
        <v>541</v>
      </c>
      <c r="BK55" s="1458">
        <v>480</v>
      </c>
      <c r="BL55" s="1458">
        <v>220</v>
      </c>
      <c r="BM55" s="1458">
        <v>395</v>
      </c>
      <c r="BN55" s="1458">
        <v>371</v>
      </c>
      <c r="BO55" s="1459">
        <v>144</v>
      </c>
      <c r="BP55" s="553">
        <v>27</v>
      </c>
      <c r="BQ55" s="1458">
        <v>1567</v>
      </c>
      <c r="BR55" s="1458">
        <v>1988</v>
      </c>
      <c r="BS55" s="1458">
        <v>1300</v>
      </c>
      <c r="BT55" s="1458">
        <v>1158</v>
      </c>
      <c r="BU55" s="1458">
        <v>2074</v>
      </c>
      <c r="BV55" s="1459">
        <v>1105</v>
      </c>
      <c r="BW55" s="553">
        <v>40</v>
      </c>
      <c r="BX55" s="1212">
        <v>785</v>
      </c>
      <c r="BY55" s="1458">
        <v>619</v>
      </c>
      <c r="BZ55" s="1430">
        <v>18</v>
      </c>
      <c r="CA55" s="559">
        <v>6</v>
      </c>
      <c r="CB55" s="559">
        <v>21</v>
      </c>
      <c r="CC55" s="550"/>
      <c r="CD55" s="553">
        <v>36</v>
      </c>
      <c r="CE55" s="1430">
        <v>1</v>
      </c>
      <c r="CF55" s="1553">
        <v>7494</v>
      </c>
      <c r="CG55" s="1430">
        <v>198</v>
      </c>
      <c r="CH55" s="560">
        <v>1572</v>
      </c>
      <c r="CI55" s="1430">
        <v>351</v>
      </c>
      <c r="CJ55" s="1459">
        <v>225</v>
      </c>
      <c r="CK55" s="553">
        <v>1882</v>
      </c>
      <c r="CL55" s="1429">
        <v>390.8</v>
      </c>
      <c r="CM55" s="1430">
        <v>365</v>
      </c>
      <c r="CN55" s="1429">
        <v>75.8</v>
      </c>
      <c r="CO55" s="561">
        <v>970</v>
      </c>
      <c r="CP55" s="1432">
        <v>201.4</v>
      </c>
      <c r="CQ55" s="544"/>
      <c r="CR55" s="562">
        <v>396</v>
      </c>
      <c r="CS55" s="562">
        <v>4515</v>
      </c>
      <c r="CT55" s="562">
        <v>143</v>
      </c>
      <c r="CU55" s="562">
        <v>2984</v>
      </c>
      <c r="CV55" s="562">
        <v>16214</v>
      </c>
      <c r="CW55" s="562">
        <v>4449</v>
      </c>
      <c r="CX55" s="562">
        <v>4739</v>
      </c>
    </row>
    <row r="56" spans="1:102" ht="15.75" customHeight="1">
      <c r="A56" s="779" t="s">
        <v>278</v>
      </c>
      <c r="B56" s="563">
        <v>3234</v>
      </c>
      <c r="C56" s="638">
        <v>15.7</v>
      </c>
      <c r="D56" s="1393">
        <v>2630</v>
      </c>
      <c r="E56" s="538"/>
      <c r="F56" s="627">
        <v>3</v>
      </c>
      <c r="G56" s="1555">
        <v>208</v>
      </c>
      <c r="H56" s="1555">
        <v>15</v>
      </c>
      <c r="I56" s="1555">
        <v>1140</v>
      </c>
      <c r="J56" s="1555">
        <v>4</v>
      </c>
      <c r="K56" s="1555">
        <v>107</v>
      </c>
      <c r="L56" s="1555" t="s">
        <v>153</v>
      </c>
      <c r="M56" s="1555" t="s">
        <v>153</v>
      </c>
      <c r="N56" s="1379">
        <v>7</v>
      </c>
      <c r="O56" s="1380">
        <v>232</v>
      </c>
      <c r="P56" s="544">
        <v>654</v>
      </c>
      <c r="Q56" s="1555">
        <v>7</v>
      </c>
      <c r="R56" s="1379">
        <v>185</v>
      </c>
      <c r="S56" s="1555">
        <v>4</v>
      </c>
      <c r="T56" s="1555">
        <v>17</v>
      </c>
      <c r="U56" s="1379">
        <v>1204</v>
      </c>
      <c r="V56" s="1555">
        <v>4</v>
      </c>
      <c r="W56" s="1379">
        <v>183</v>
      </c>
      <c r="X56" s="1555">
        <v>1</v>
      </c>
      <c r="Y56" s="1379">
        <v>18</v>
      </c>
      <c r="Z56" s="1380" t="s">
        <v>153</v>
      </c>
      <c r="AA56" s="542"/>
      <c r="AB56" s="627">
        <v>75282</v>
      </c>
      <c r="AC56" s="1555">
        <v>14016</v>
      </c>
      <c r="AD56" s="1555">
        <v>20519722457</v>
      </c>
      <c r="AE56" s="1407">
        <v>99.4</v>
      </c>
      <c r="AF56" s="1380">
        <v>8</v>
      </c>
      <c r="AG56" s="544"/>
      <c r="AH56" s="563">
        <v>35674</v>
      </c>
      <c r="AI56" s="1452">
        <v>17.14</v>
      </c>
      <c r="AJ56" s="1393">
        <v>25413</v>
      </c>
      <c r="AK56" s="1452">
        <v>23.89</v>
      </c>
      <c r="AL56" s="1393">
        <v>490445</v>
      </c>
      <c r="AM56" s="1471">
        <v>96.26</v>
      </c>
      <c r="AN56" s="1452">
        <v>27.6</v>
      </c>
      <c r="AO56" s="1237">
        <v>23</v>
      </c>
      <c r="AP56" s="546"/>
      <c r="AQ56" s="787">
        <v>725</v>
      </c>
      <c r="AR56" s="1393">
        <v>19</v>
      </c>
      <c r="AS56" s="1393">
        <v>2184</v>
      </c>
      <c r="AT56" s="635">
        <v>59</v>
      </c>
      <c r="AU56" s="635">
        <v>1325</v>
      </c>
      <c r="AV56" s="1393">
        <v>42</v>
      </c>
      <c r="AW56" s="1393">
        <v>540</v>
      </c>
      <c r="AX56" s="635">
        <v>15</v>
      </c>
      <c r="AY56" s="1393">
        <v>10</v>
      </c>
      <c r="AZ56" s="1462">
        <v>407</v>
      </c>
      <c r="BA56" s="1462">
        <v>271</v>
      </c>
      <c r="BB56" s="1462">
        <v>291</v>
      </c>
      <c r="BC56" s="1451">
        <v>163</v>
      </c>
      <c r="BD56" s="563">
        <v>22</v>
      </c>
      <c r="BE56" s="1462">
        <v>919</v>
      </c>
      <c r="BF56" s="1462">
        <v>611</v>
      </c>
      <c r="BG56" s="1462">
        <v>801</v>
      </c>
      <c r="BH56" s="1462">
        <v>537</v>
      </c>
      <c r="BI56" s="1393" t="s">
        <v>153</v>
      </c>
      <c r="BJ56" s="1462" t="s">
        <v>153</v>
      </c>
      <c r="BK56" s="1462" t="s">
        <v>153</v>
      </c>
      <c r="BL56" s="1462" t="s">
        <v>153</v>
      </c>
      <c r="BM56" s="1462" t="s">
        <v>153</v>
      </c>
      <c r="BN56" s="1462" t="s">
        <v>153</v>
      </c>
      <c r="BO56" s="1451" t="s">
        <v>153</v>
      </c>
      <c r="BP56" s="563">
        <v>32</v>
      </c>
      <c r="BQ56" s="1462">
        <v>813</v>
      </c>
      <c r="BR56" s="1462">
        <v>1238</v>
      </c>
      <c r="BS56" s="1462">
        <v>681</v>
      </c>
      <c r="BT56" s="1462">
        <v>623</v>
      </c>
      <c r="BU56" s="1462">
        <v>1083</v>
      </c>
      <c r="BV56" s="1451">
        <v>596</v>
      </c>
      <c r="BW56" s="563">
        <v>3</v>
      </c>
      <c r="BX56" s="550">
        <v>57</v>
      </c>
      <c r="BY56" s="1462">
        <v>26</v>
      </c>
      <c r="BZ56" s="1393">
        <v>0</v>
      </c>
      <c r="CA56" s="1058">
        <v>3</v>
      </c>
      <c r="CB56" s="1058">
        <v>9</v>
      </c>
      <c r="CC56" s="550"/>
      <c r="CD56" s="563">
        <v>26</v>
      </c>
      <c r="CE56" s="1393">
        <v>1</v>
      </c>
      <c r="CF56" s="1578">
        <v>4280</v>
      </c>
      <c r="CG56" s="1393">
        <v>49</v>
      </c>
      <c r="CH56" s="1227">
        <v>2056.6999999999998</v>
      </c>
      <c r="CI56" s="1393">
        <v>222</v>
      </c>
      <c r="CJ56" s="1451">
        <v>133</v>
      </c>
      <c r="CK56" s="563">
        <v>729</v>
      </c>
      <c r="CL56" s="1452">
        <v>340</v>
      </c>
      <c r="CM56" s="1393">
        <v>223</v>
      </c>
      <c r="CN56" s="1452">
        <v>104</v>
      </c>
      <c r="CO56" s="635">
        <v>586</v>
      </c>
      <c r="CP56" s="1453">
        <v>273</v>
      </c>
      <c r="CQ56" s="544"/>
      <c r="CR56" s="1228">
        <v>236</v>
      </c>
      <c r="CS56" s="1228">
        <v>2197</v>
      </c>
      <c r="CT56" s="1228">
        <v>67</v>
      </c>
      <c r="CU56" s="1228">
        <v>1232</v>
      </c>
      <c r="CV56" s="1228">
        <v>9086</v>
      </c>
      <c r="CW56" s="1228">
        <v>2506</v>
      </c>
      <c r="CX56" s="1228">
        <v>2881</v>
      </c>
    </row>
    <row r="57" spans="1:102" ht="15.75" customHeight="1">
      <c r="A57" s="795" t="s">
        <v>228</v>
      </c>
      <c r="B57" s="553">
        <v>5868</v>
      </c>
      <c r="C57" s="521">
        <v>12.89</v>
      </c>
      <c r="D57" s="1430">
        <v>4679</v>
      </c>
      <c r="E57" s="538"/>
      <c r="F57" s="554">
        <v>1</v>
      </c>
      <c r="G57" s="1537">
        <v>80</v>
      </c>
      <c r="H57" s="1537">
        <v>23</v>
      </c>
      <c r="I57" s="1537">
        <v>1498</v>
      </c>
      <c r="J57" s="1537">
        <v>26</v>
      </c>
      <c r="K57" s="1537">
        <v>691</v>
      </c>
      <c r="L57" s="1537">
        <v>1</v>
      </c>
      <c r="M57" s="1537">
        <v>50</v>
      </c>
      <c r="N57" s="1539">
        <v>43</v>
      </c>
      <c r="O57" s="1431">
        <v>1167</v>
      </c>
      <c r="P57" s="556">
        <v>1745</v>
      </c>
      <c r="Q57" s="1537">
        <v>11</v>
      </c>
      <c r="R57" s="1539">
        <v>430</v>
      </c>
      <c r="S57" s="1537">
        <v>5</v>
      </c>
      <c r="T57" s="1537">
        <v>14</v>
      </c>
      <c r="U57" s="1539">
        <v>1118</v>
      </c>
      <c r="V57" s="1537">
        <v>4</v>
      </c>
      <c r="W57" s="1539">
        <v>171</v>
      </c>
      <c r="X57" s="1537">
        <v>4</v>
      </c>
      <c r="Y57" s="1539">
        <v>66</v>
      </c>
      <c r="Z57" s="1431">
        <v>28</v>
      </c>
      <c r="AA57" s="542"/>
      <c r="AB57" s="554">
        <v>133772</v>
      </c>
      <c r="AC57" s="1537">
        <v>28163</v>
      </c>
      <c r="AD57" s="1537">
        <v>38893035155</v>
      </c>
      <c r="AE57" s="1408">
        <v>99.2</v>
      </c>
      <c r="AF57" s="1431">
        <v>15</v>
      </c>
      <c r="AG57" s="544"/>
      <c r="AH57" s="553">
        <v>82136</v>
      </c>
      <c r="AI57" s="1429">
        <v>17.89</v>
      </c>
      <c r="AJ57" s="1430">
        <v>55724</v>
      </c>
      <c r="AK57" s="1429">
        <v>26.01</v>
      </c>
      <c r="AL57" s="1430">
        <v>419624.8</v>
      </c>
      <c r="AM57" s="1411">
        <v>92.72</v>
      </c>
      <c r="AN57" s="1429">
        <v>26.8</v>
      </c>
      <c r="AO57" s="558">
        <v>19.5</v>
      </c>
      <c r="AP57" s="546"/>
      <c r="AQ57" s="1269">
        <v>2171</v>
      </c>
      <c r="AR57" s="1433">
        <v>20</v>
      </c>
      <c r="AS57" s="1430">
        <f>BB57+BG57+BN57+BU57</f>
        <v>7285</v>
      </c>
      <c r="AT57" s="1270">
        <v>66</v>
      </c>
      <c r="AU57" s="561">
        <f>BC57+BH57+BO57+BV57+BY57</f>
        <v>4315</v>
      </c>
      <c r="AV57" s="1433">
        <v>43</v>
      </c>
      <c r="AW57" s="1430">
        <v>1579</v>
      </c>
      <c r="AX57" s="1271">
        <v>14</v>
      </c>
      <c r="AY57" s="1430">
        <v>44</v>
      </c>
      <c r="AZ57" s="1458">
        <v>2865</v>
      </c>
      <c r="BA57" s="1458">
        <v>1570</v>
      </c>
      <c r="BB57" s="1458">
        <v>2326</v>
      </c>
      <c r="BC57" s="1459">
        <v>923</v>
      </c>
      <c r="BD57" s="553">
        <v>22</v>
      </c>
      <c r="BE57" s="1458">
        <v>1295</v>
      </c>
      <c r="BF57" s="1458">
        <v>1036</v>
      </c>
      <c r="BG57" s="1458">
        <v>1318</v>
      </c>
      <c r="BH57" s="1458">
        <v>843</v>
      </c>
      <c r="BI57" s="1430">
        <v>2</v>
      </c>
      <c r="BJ57" s="1458">
        <v>150</v>
      </c>
      <c r="BK57" s="1458">
        <v>150</v>
      </c>
      <c r="BL57" s="1458">
        <v>75</v>
      </c>
      <c r="BM57" s="1458">
        <v>112</v>
      </c>
      <c r="BN57" s="1458">
        <v>143</v>
      </c>
      <c r="BO57" s="1459">
        <v>58</v>
      </c>
      <c r="BP57" s="553">
        <v>51</v>
      </c>
      <c r="BQ57" s="1458">
        <v>1432</v>
      </c>
      <c r="BR57" s="1458">
        <v>3637</v>
      </c>
      <c r="BS57" s="1458">
        <v>2712</v>
      </c>
      <c r="BT57" s="1458">
        <v>1014</v>
      </c>
      <c r="BU57" s="1458">
        <v>3498</v>
      </c>
      <c r="BV57" s="1459">
        <v>2109</v>
      </c>
      <c r="BW57" s="553">
        <v>37</v>
      </c>
      <c r="BX57" s="1212">
        <v>590</v>
      </c>
      <c r="BY57" s="1458">
        <v>382</v>
      </c>
      <c r="BZ57" s="1430">
        <v>0</v>
      </c>
      <c r="CA57" s="559">
        <v>1</v>
      </c>
      <c r="CB57" s="559">
        <v>36</v>
      </c>
      <c r="CC57" s="550"/>
      <c r="CD57" s="553">
        <v>40</v>
      </c>
      <c r="CE57" s="1430">
        <v>1</v>
      </c>
      <c r="CF57" s="1553">
        <v>6058</v>
      </c>
      <c r="CG57" s="1430">
        <v>506</v>
      </c>
      <c r="CH57" s="560">
        <v>1319.4</v>
      </c>
      <c r="CI57" s="1430">
        <v>354</v>
      </c>
      <c r="CJ57" s="1459">
        <v>230</v>
      </c>
      <c r="CK57" s="553">
        <v>1037</v>
      </c>
      <c r="CL57" s="1429">
        <v>225.8</v>
      </c>
      <c r="CM57" s="1430">
        <v>342</v>
      </c>
      <c r="CN57" s="1429">
        <v>74.5</v>
      </c>
      <c r="CO57" s="561">
        <v>1200</v>
      </c>
      <c r="CP57" s="1432">
        <v>261.3</v>
      </c>
      <c r="CQ57" s="544"/>
      <c r="CR57" s="562">
        <v>454</v>
      </c>
      <c r="CS57" s="562">
        <v>4769</v>
      </c>
      <c r="CT57" s="562">
        <v>211</v>
      </c>
      <c r="CU57" s="562">
        <v>4277</v>
      </c>
      <c r="CV57" s="562">
        <v>17005</v>
      </c>
      <c r="CW57" s="562">
        <v>4006</v>
      </c>
      <c r="CX57" s="562">
        <v>6192</v>
      </c>
    </row>
    <row r="58" spans="1:102" ht="15.75" customHeight="1">
      <c r="A58" s="779" t="s">
        <v>229</v>
      </c>
      <c r="B58" s="1077">
        <v>3573</v>
      </c>
      <c r="C58" s="1079">
        <v>14.39</v>
      </c>
      <c r="D58" s="1499">
        <v>3000</v>
      </c>
      <c r="E58" s="1218"/>
      <c r="F58" s="515">
        <v>3</v>
      </c>
      <c r="G58" s="1599">
        <v>240</v>
      </c>
      <c r="H58" s="1599">
        <v>17</v>
      </c>
      <c r="I58" s="1599">
        <v>1057</v>
      </c>
      <c r="J58" s="1599">
        <v>19</v>
      </c>
      <c r="K58" s="1599">
        <v>524</v>
      </c>
      <c r="L58" s="1599">
        <v>2</v>
      </c>
      <c r="M58" s="1599">
        <v>170</v>
      </c>
      <c r="N58" s="1600">
        <v>68</v>
      </c>
      <c r="O58" s="1424">
        <v>2238</v>
      </c>
      <c r="P58" s="873">
        <v>759</v>
      </c>
      <c r="Q58" s="1599">
        <v>9</v>
      </c>
      <c r="R58" s="1600">
        <v>460</v>
      </c>
      <c r="S58" s="1599">
        <v>1</v>
      </c>
      <c r="T58" s="1599">
        <v>12</v>
      </c>
      <c r="U58" s="1600">
        <v>837</v>
      </c>
      <c r="V58" s="1599">
        <v>7</v>
      </c>
      <c r="W58" s="1600">
        <v>329</v>
      </c>
      <c r="X58" s="1599">
        <v>2</v>
      </c>
      <c r="Y58" s="1600">
        <v>64</v>
      </c>
      <c r="Z58" s="1424">
        <v>13</v>
      </c>
      <c r="AA58" s="1219"/>
      <c r="AB58" s="515">
        <v>90274</v>
      </c>
      <c r="AC58" s="1599">
        <v>19392</v>
      </c>
      <c r="AD58" s="1599">
        <v>24309661110</v>
      </c>
      <c r="AE58" s="1601">
        <v>98.3</v>
      </c>
      <c r="AF58" s="1424">
        <v>12</v>
      </c>
      <c r="AG58" s="873"/>
      <c r="AH58" s="1077">
        <v>49411</v>
      </c>
      <c r="AI58" s="1425">
        <v>19.84</v>
      </c>
      <c r="AJ58" s="1499">
        <v>34638</v>
      </c>
      <c r="AK58" s="1425">
        <v>26.92</v>
      </c>
      <c r="AL58" s="1499">
        <v>517376</v>
      </c>
      <c r="AM58" s="1506">
        <v>94.89</v>
      </c>
      <c r="AN58" s="1425">
        <v>28.6</v>
      </c>
      <c r="AO58" s="1272">
        <v>4.9000000000000004</v>
      </c>
      <c r="AP58" s="1221"/>
      <c r="AQ58" s="508">
        <v>1229</v>
      </c>
      <c r="AR58" s="1501">
        <v>25</v>
      </c>
      <c r="AS58" s="1499">
        <v>3213</v>
      </c>
      <c r="AT58" s="1385">
        <v>67</v>
      </c>
      <c r="AU58" s="1078">
        <v>1749</v>
      </c>
      <c r="AV58" s="1501">
        <v>41</v>
      </c>
      <c r="AW58" s="1499">
        <v>234</v>
      </c>
      <c r="AX58" s="1385">
        <v>5</v>
      </c>
      <c r="AY58" s="1392">
        <v>9</v>
      </c>
      <c r="AZ58" s="1499">
        <v>405</v>
      </c>
      <c r="BA58" s="1392">
        <v>340</v>
      </c>
      <c r="BB58" s="1392">
        <v>390</v>
      </c>
      <c r="BC58" s="1507">
        <v>204</v>
      </c>
      <c r="BD58" s="508">
        <v>25</v>
      </c>
      <c r="BE58" s="1499">
        <v>1568</v>
      </c>
      <c r="BF58" s="1224">
        <v>1000</v>
      </c>
      <c r="BG58" s="1392">
        <v>1495</v>
      </c>
      <c r="BH58" s="1392">
        <v>918</v>
      </c>
      <c r="BI58" s="1499">
        <v>10</v>
      </c>
      <c r="BJ58" s="1392">
        <v>205</v>
      </c>
      <c r="BK58" s="1392">
        <v>645</v>
      </c>
      <c r="BL58" s="1392">
        <v>390</v>
      </c>
      <c r="BM58" s="1392">
        <v>106</v>
      </c>
      <c r="BN58" s="1392">
        <v>557</v>
      </c>
      <c r="BO58" s="1507">
        <v>277</v>
      </c>
      <c r="BP58" s="1077">
        <v>15</v>
      </c>
      <c r="BQ58" s="1392">
        <v>784</v>
      </c>
      <c r="BR58" s="1392">
        <v>780</v>
      </c>
      <c r="BS58" s="1392">
        <v>386</v>
      </c>
      <c r="BT58" s="1392">
        <v>542</v>
      </c>
      <c r="BU58" s="1392">
        <v>766</v>
      </c>
      <c r="BV58" s="1507">
        <v>345</v>
      </c>
      <c r="BW58" s="1077" t="s">
        <v>153</v>
      </c>
      <c r="BX58" s="1224" t="s">
        <v>153</v>
      </c>
      <c r="BY58" s="1392" t="s">
        <v>153</v>
      </c>
      <c r="BZ58" s="1499">
        <v>0</v>
      </c>
      <c r="CA58" s="1080">
        <v>4</v>
      </c>
      <c r="CB58" s="1080">
        <v>17</v>
      </c>
      <c r="CC58" s="1224"/>
      <c r="CD58" s="1077">
        <v>24</v>
      </c>
      <c r="CE58" s="1499">
        <v>1</v>
      </c>
      <c r="CF58" s="1602">
        <v>5451</v>
      </c>
      <c r="CG58" s="1499">
        <v>71</v>
      </c>
      <c r="CH58" s="1273">
        <v>2189.1</v>
      </c>
      <c r="CI58" s="1499">
        <v>265</v>
      </c>
      <c r="CJ58" s="1507">
        <v>129</v>
      </c>
      <c r="CK58" s="1077">
        <v>703</v>
      </c>
      <c r="CL58" s="1425">
        <v>282.3</v>
      </c>
      <c r="CM58" s="1499">
        <v>226</v>
      </c>
      <c r="CN58" s="1425">
        <v>90.8</v>
      </c>
      <c r="CO58" s="1078">
        <v>625</v>
      </c>
      <c r="CP58" s="1500">
        <v>251</v>
      </c>
      <c r="CQ58" s="873"/>
      <c r="CR58" s="1274">
        <v>267</v>
      </c>
      <c r="CS58" s="1274">
        <v>2347</v>
      </c>
      <c r="CT58" s="1274">
        <v>76</v>
      </c>
      <c r="CU58" s="1274">
        <v>1019</v>
      </c>
      <c r="CV58" s="1274">
        <v>12104</v>
      </c>
      <c r="CW58" s="1274">
        <v>2536</v>
      </c>
      <c r="CX58" s="1274">
        <v>2755</v>
      </c>
    </row>
    <row r="59" spans="1:102" ht="15.75" customHeight="1">
      <c r="A59" s="795" t="s">
        <v>230</v>
      </c>
      <c r="B59" s="553">
        <v>6222</v>
      </c>
      <c r="C59" s="521">
        <v>14.8</v>
      </c>
      <c r="D59" s="1430">
        <v>5094</v>
      </c>
      <c r="E59" s="538"/>
      <c r="F59" s="554">
        <v>2</v>
      </c>
      <c r="G59" s="1537">
        <v>200</v>
      </c>
      <c r="H59" s="1537">
        <v>29</v>
      </c>
      <c r="I59" s="1537">
        <v>1727</v>
      </c>
      <c r="J59" s="1537">
        <v>2</v>
      </c>
      <c r="K59" s="1537">
        <v>58</v>
      </c>
      <c r="L59" s="1537" t="s">
        <v>148</v>
      </c>
      <c r="M59" s="1537" t="s">
        <v>148</v>
      </c>
      <c r="N59" s="1539">
        <v>123</v>
      </c>
      <c r="O59" s="1431">
        <v>4019</v>
      </c>
      <c r="P59" s="556">
        <v>1485</v>
      </c>
      <c r="Q59" s="1537">
        <v>12</v>
      </c>
      <c r="R59" s="1539">
        <v>468</v>
      </c>
      <c r="S59" s="1537">
        <v>1</v>
      </c>
      <c r="T59" s="1537">
        <v>17</v>
      </c>
      <c r="U59" s="1539">
        <v>1241</v>
      </c>
      <c r="V59" s="1537">
        <v>1</v>
      </c>
      <c r="W59" s="1539">
        <v>42</v>
      </c>
      <c r="X59" s="1537">
        <v>4</v>
      </c>
      <c r="Y59" s="1539">
        <v>111</v>
      </c>
      <c r="Z59" s="1431">
        <v>9</v>
      </c>
      <c r="AA59" s="542"/>
      <c r="AB59" s="554">
        <v>119558</v>
      </c>
      <c r="AC59" s="1537">
        <v>25502</v>
      </c>
      <c r="AD59" s="1537">
        <v>39190603798</v>
      </c>
      <c r="AE59" s="1408">
        <v>98.26</v>
      </c>
      <c r="AF59" s="1431">
        <v>2</v>
      </c>
      <c r="AG59" s="544"/>
      <c r="AH59" s="553">
        <v>72286</v>
      </c>
      <c r="AI59" s="1429">
        <v>17.2</v>
      </c>
      <c r="AJ59" s="1430">
        <v>49640</v>
      </c>
      <c r="AK59" s="1429">
        <v>24.5</v>
      </c>
      <c r="AL59" s="1430">
        <v>467617</v>
      </c>
      <c r="AM59" s="1411">
        <v>91.3</v>
      </c>
      <c r="AN59" s="1429">
        <v>43.9</v>
      </c>
      <c r="AO59" s="558">
        <v>23.5</v>
      </c>
      <c r="AP59" s="546"/>
      <c r="AQ59" s="1269">
        <v>2475</v>
      </c>
      <c r="AR59" s="1430">
        <v>25</v>
      </c>
      <c r="AS59" s="1430">
        <v>5802</v>
      </c>
      <c r="AT59" s="561">
        <v>59</v>
      </c>
      <c r="AU59" s="561">
        <v>4150</v>
      </c>
      <c r="AV59" s="1430">
        <v>46</v>
      </c>
      <c r="AW59" s="1430">
        <v>1190</v>
      </c>
      <c r="AX59" s="561">
        <v>12</v>
      </c>
      <c r="AY59" s="1458">
        <v>25</v>
      </c>
      <c r="AZ59" s="1430">
        <v>1685</v>
      </c>
      <c r="BA59" s="1458">
        <v>1216</v>
      </c>
      <c r="BB59" s="1430">
        <v>1399</v>
      </c>
      <c r="BC59" s="1459">
        <v>941</v>
      </c>
      <c r="BD59" s="1269">
        <v>34</v>
      </c>
      <c r="BE59" s="1430">
        <v>2008</v>
      </c>
      <c r="BF59" s="1212">
        <v>1625</v>
      </c>
      <c r="BG59" s="1430">
        <v>1929</v>
      </c>
      <c r="BH59" s="1212">
        <v>1411</v>
      </c>
      <c r="BI59" s="1430">
        <v>10</v>
      </c>
      <c r="BJ59" s="1458">
        <v>502</v>
      </c>
      <c r="BK59" s="1458">
        <v>917</v>
      </c>
      <c r="BL59" s="1458">
        <v>582</v>
      </c>
      <c r="BM59" s="1458">
        <v>188</v>
      </c>
      <c r="BN59" s="1458">
        <v>693</v>
      </c>
      <c r="BO59" s="1459">
        <v>397</v>
      </c>
      <c r="BP59" s="553">
        <v>26</v>
      </c>
      <c r="BQ59" s="1458">
        <v>1481</v>
      </c>
      <c r="BR59" s="1458">
        <v>1770</v>
      </c>
      <c r="BS59" s="1458">
        <v>1414</v>
      </c>
      <c r="BT59" s="1458">
        <v>854</v>
      </c>
      <c r="BU59" s="1458">
        <v>1772</v>
      </c>
      <c r="BV59" s="1459">
        <v>1100</v>
      </c>
      <c r="BW59" s="553">
        <v>22</v>
      </c>
      <c r="BX59" s="1212">
        <v>351</v>
      </c>
      <c r="BY59" s="1458">
        <v>306</v>
      </c>
      <c r="BZ59" s="1430">
        <v>12</v>
      </c>
      <c r="CA59" s="559">
        <v>12</v>
      </c>
      <c r="CB59" s="559">
        <v>30</v>
      </c>
      <c r="CC59" s="550"/>
      <c r="CD59" s="553">
        <v>33</v>
      </c>
      <c r="CE59" s="1430">
        <v>2</v>
      </c>
      <c r="CF59" s="1553">
        <v>6366</v>
      </c>
      <c r="CG59" s="1430">
        <v>392</v>
      </c>
      <c r="CH59" s="560">
        <v>1517.1</v>
      </c>
      <c r="CI59" s="1430">
        <v>417</v>
      </c>
      <c r="CJ59" s="1459">
        <v>237</v>
      </c>
      <c r="CK59" s="553">
        <v>1262</v>
      </c>
      <c r="CL59" s="1429">
        <v>289.10000000000002</v>
      </c>
      <c r="CM59" s="1430">
        <v>356</v>
      </c>
      <c r="CN59" s="1429">
        <v>82.6</v>
      </c>
      <c r="CO59" s="561">
        <v>1207</v>
      </c>
      <c r="CP59" s="1432">
        <v>289.10000000000002</v>
      </c>
      <c r="CQ59" s="544"/>
      <c r="CR59" s="562">
        <v>463</v>
      </c>
      <c r="CS59" s="562">
        <v>3329</v>
      </c>
      <c r="CT59" s="562">
        <v>115</v>
      </c>
      <c r="CU59" s="562">
        <v>1444</v>
      </c>
      <c r="CV59" s="562">
        <v>17115</v>
      </c>
      <c r="CW59" s="562">
        <v>3429</v>
      </c>
      <c r="CX59" s="562">
        <v>3708</v>
      </c>
    </row>
    <row r="60" spans="1:102" ht="15.75" customHeight="1">
      <c r="A60" s="779" t="s">
        <v>231</v>
      </c>
      <c r="B60" s="563">
        <v>11158</v>
      </c>
      <c r="C60" s="638">
        <v>22.1</v>
      </c>
      <c r="D60" s="1393">
        <v>9418</v>
      </c>
      <c r="E60" s="538"/>
      <c r="F60" s="627">
        <v>2</v>
      </c>
      <c r="G60" s="1555">
        <v>250</v>
      </c>
      <c r="H60" s="1555">
        <v>26</v>
      </c>
      <c r="I60" s="1555">
        <v>1653</v>
      </c>
      <c r="J60" s="1555">
        <v>22</v>
      </c>
      <c r="K60" s="1555">
        <v>602</v>
      </c>
      <c r="L60" s="1555">
        <v>1</v>
      </c>
      <c r="M60" s="1555">
        <v>50</v>
      </c>
      <c r="N60" s="1379">
        <v>78</v>
      </c>
      <c r="O60" s="1380">
        <v>2903</v>
      </c>
      <c r="P60" s="544">
        <v>2136</v>
      </c>
      <c r="Q60" s="1555">
        <v>12</v>
      </c>
      <c r="R60" s="1379">
        <v>390</v>
      </c>
      <c r="S60" s="1555">
        <v>3</v>
      </c>
      <c r="T60" s="1555">
        <v>15</v>
      </c>
      <c r="U60" s="1379">
        <v>1274</v>
      </c>
      <c r="V60" s="1555">
        <v>2</v>
      </c>
      <c r="W60" s="1379">
        <v>83</v>
      </c>
      <c r="X60" s="1555" t="s">
        <v>153</v>
      </c>
      <c r="Y60" s="1379" t="s">
        <v>153</v>
      </c>
      <c r="Z60" s="1380">
        <v>1</v>
      </c>
      <c r="AA60" s="542"/>
      <c r="AB60" s="627">
        <v>144111</v>
      </c>
      <c r="AC60" s="1555">
        <v>31503</v>
      </c>
      <c r="AD60" s="1555">
        <v>45924429105</v>
      </c>
      <c r="AE60" s="1407">
        <v>98.7</v>
      </c>
      <c r="AF60" s="1380">
        <v>13</v>
      </c>
      <c r="AG60" s="544"/>
      <c r="AH60" s="563">
        <v>95532</v>
      </c>
      <c r="AI60" s="1452">
        <v>19</v>
      </c>
      <c r="AJ60" s="1393">
        <v>65320</v>
      </c>
      <c r="AK60" s="1452">
        <v>25.7</v>
      </c>
      <c r="AL60" s="1393">
        <v>427352</v>
      </c>
      <c r="AM60" s="1471">
        <v>94.7</v>
      </c>
      <c r="AN60" s="1452">
        <v>33.1</v>
      </c>
      <c r="AO60" s="1237">
        <v>24.8</v>
      </c>
      <c r="AP60" s="546"/>
      <c r="AQ60" s="787">
        <v>3809</v>
      </c>
      <c r="AR60" s="1393">
        <v>33</v>
      </c>
      <c r="AS60" s="1393">
        <v>4973</v>
      </c>
      <c r="AT60" s="635">
        <v>44</v>
      </c>
      <c r="AU60" s="635">
        <v>3831</v>
      </c>
      <c r="AV60" s="1393">
        <v>38</v>
      </c>
      <c r="AW60" s="1393">
        <v>2087</v>
      </c>
      <c r="AX60" s="635">
        <v>18</v>
      </c>
      <c r="AY60" s="1462">
        <v>23</v>
      </c>
      <c r="AZ60" s="1393">
        <v>1562</v>
      </c>
      <c r="BA60" s="1462">
        <v>1028</v>
      </c>
      <c r="BB60" s="1393">
        <v>1338</v>
      </c>
      <c r="BC60" s="1451">
        <v>737</v>
      </c>
      <c r="BD60" s="787">
        <v>21</v>
      </c>
      <c r="BE60" s="1393">
        <v>809</v>
      </c>
      <c r="BF60" s="550">
        <v>761</v>
      </c>
      <c r="BG60" s="1393">
        <v>828</v>
      </c>
      <c r="BH60" s="550">
        <v>681</v>
      </c>
      <c r="BI60" s="1393">
        <v>2</v>
      </c>
      <c r="BJ60" s="1393">
        <v>15</v>
      </c>
      <c r="BK60" s="1393">
        <v>51</v>
      </c>
      <c r="BL60" s="1462">
        <v>25</v>
      </c>
      <c r="BM60" s="1462">
        <v>1</v>
      </c>
      <c r="BN60" s="1462">
        <v>19</v>
      </c>
      <c r="BO60" s="1451">
        <v>8</v>
      </c>
      <c r="BP60" s="563">
        <v>46</v>
      </c>
      <c r="BQ60" s="1462">
        <v>3731</v>
      </c>
      <c r="BR60" s="1462">
        <v>2379</v>
      </c>
      <c r="BS60" s="1462">
        <v>1370</v>
      </c>
      <c r="BT60" s="1462">
        <v>2531</v>
      </c>
      <c r="BU60" s="1462">
        <v>2547</v>
      </c>
      <c r="BV60" s="1451">
        <v>1309</v>
      </c>
      <c r="BW60" s="563">
        <v>33</v>
      </c>
      <c r="BX60" s="1462">
        <v>560</v>
      </c>
      <c r="BY60" s="1462">
        <v>522</v>
      </c>
      <c r="BZ60" s="1393">
        <v>0</v>
      </c>
      <c r="CA60" s="1451">
        <v>8</v>
      </c>
      <c r="CB60" s="1451">
        <v>24</v>
      </c>
      <c r="CC60" s="550"/>
      <c r="CD60" s="563">
        <v>41</v>
      </c>
      <c r="CE60" s="1393" t="s">
        <v>153</v>
      </c>
      <c r="CF60" s="1578">
        <v>8223</v>
      </c>
      <c r="CG60" s="1393" t="s">
        <v>153</v>
      </c>
      <c r="CH60" s="1227">
        <v>1637.9</v>
      </c>
      <c r="CI60" s="1393">
        <v>493</v>
      </c>
      <c r="CJ60" s="1451">
        <v>248</v>
      </c>
      <c r="CK60" s="563">
        <v>1645</v>
      </c>
      <c r="CL60" s="1452">
        <v>321.8</v>
      </c>
      <c r="CM60" s="1393">
        <v>366</v>
      </c>
      <c r="CN60" s="1452">
        <v>71.599999999999994</v>
      </c>
      <c r="CO60" s="635">
        <v>1386</v>
      </c>
      <c r="CP60" s="1453">
        <v>271.10000000000002</v>
      </c>
      <c r="CQ60" s="544"/>
      <c r="CR60" s="1275">
        <v>666</v>
      </c>
      <c r="CS60" s="1276">
        <v>3579</v>
      </c>
      <c r="CT60" s="1276">
        <v>198</v>
      </c>
      <c r="CU60" s="1276">
        <v>2502</v>
      </c>
      <c r="CV60" s="1276">
        <v>17593</v>
      </c>
      <c r="CW60" s="1276">
        <v>4551</v>
      </c>
      <c r="CX60" s="1276">
        <v>5028</v>
      </c>
    </row>
    <row r="61" spans="1:102" ht="15.75" customHeight="1">
      <c r="A61" s="795" t="s">
        <v>232</v>
      </c>
      <c r="B61" s="553">
        <v>10641</v>
      </c>
      <c r="C61" s="521">
        <v>33.4</v>
      </c>
      <c r="D61" s="1430">
        <v>8567</v>
      </c>
      <c r="E61" s="538"/>
      <c r="F61" s="554">
        <v>2</v>
      </c>
      <c r="G61" s="1537">
        <v>210</v>
      </c>
      <c r="H61" s="1537">
        <v>15</v>
      </c>
      <c r="I61" s="1537">
        <v>1166</v>
      </c>
      <c r="J61" s="1537">
        <v>2</v>
      </c>
      <c r="K61" s="1537">
        <v>47</v>
      </c>
      <c r="L61" s="1537">
        <v>1</v>
      </c>
      <c r="M61" s="1537">
        <v>60</v>
      </c>
      <c r="N61" s="1539">
        <v>41</v>
      </c>
      <c r="O61" s="1431">
        <v>1522</v>
      </c>
      <c r="P61" s="556">
        <v>1190</v>
      </c>
      <c r="Q61" s="1537">
        <v>5</v>
      </c>
      <c r="R61" s="1539">
        <v>309</v>
      </c>
      <c r="S61" s="1537">
        <v>11</v>
      </c>
      <c r="T61" s="1537">
        <v>8</v>
      </c>
      <c r="U61" s="1539">
        <v>484</v>
      </c>
      <c r="V61" s="1537">
        <v>14</v>
      </c>
      <c r="W61" s="1539">
        <v>954</v>
      </c>
      <c r="X61" s="1537">
        <v>1</v>
      </c>
      <c r="Y61" s="1539">
        <v>46</v>
      </c>
      <c r="Z61" s="1431">
        <v>4</v>
      </c>
      <c r="AA61" s="542"/>
      <c r="AB61" s="554">
        <v>97040</v>
      </c>
      <c r="AC61" s="1537">
        <v>19905</v>
      </c>
      <c r="AD61" s="1537">
        <v>28957288833</v>
      </c>
      <c r="AE61" s="1408">
        <v>99.4</v>
      </c>
      <c r="AF61" s="1431">
        <v>14</v>
      </c>
      <c r="AG61" s="544"/>
      <c r="AH61" s="553">
        <v>58712</v>
      </c>
      <c r="AI61" s="1429">
        <v>18.5</v>
      </c>
      <c r="AJ61" s="1430">
        <v>40853</v>
      </c>
      <c r="AK61" s="1429">
        <v>24.9</v>
      </c>
      <c r="AL61" s="1430">
        <v>455855</v>
      </c>
      <c r="AM61" s="1411">
        <v>94</v>
      </c>
      <c r="AN61" s="1429">
        <v>30</v>
      </c>
      <c r="AO61" s="558">
        <v>40.299999999999997</v>
      </c>
      <c r="AP61" s="546"/>
      <c r="AQ61" s="1269">
        <v>682</v>
      </c>
      <c r="AR61" s="1430">
        <v>9.8000000000000007</v>
      </c>
      <c r="AS61" s="1430">
        <v>5986</v>
      </c>
      <c r="AT61" s="561">
        <v>86.4</v>
      </c>
      <c r="AU61" s="561">
        <v>3854</v>
      </c>
      <c r="AV61" s="1430">
        <v>63.7</v>
      </c>
      <c r="AW61" s="1430">
        <v>525</v>
      </c>
      <c r="AX61" s="561">
        <v>7.6</v>
      </c>
      <c r="AY61" s="1458">
        <v>23</v>
      </c>
      <c r="AZ61" s="1430">
        <v>1479</v>
      </c>
      <c r="BA61" s="1458">
        <v>940</v>
      </c>
      <c r="BB61" s="1430">
        <v>1171</v>
      </c>
      <c r="BC61" s="1459">
        <v>709</v>
      </c>
      <c r="BD61" s="1269">
        <v>61</v>
      </c>
      <c r="BE61" s="1430">
        <v>3709</v>
      </c>
      <c r="BF61" s="1212">
        <v>2555</v>
      </c>
      <c r="BG61" s="1430">
        <v>3485</v>
      </c>
      <c r="BH61" s="1212">
        <v>2219</v>
      </c>
      <c r="BI61" s="1430" t="s">
        <v>148</v>
      </c>
      <c r="BJ61" s="1458" t="s">
        <v>148</v>
      </c>
      <c r="BK61" s="1458" t="s">
        <v>148</v>
      </c>
      <c r="BL61" s="1458" t="s">
        <v>148</v>
      </c>
      <c r="BM61" s="1458" t="s">
        <v>148</v>
      </c>
      <c r="BN61" s="1458" t="s">
        <v>148</v>
      </c>
      <c r="BO61" s="1459" t="s">
        <v>148</v>
      </c>
      <c r="BP61" s="553">
        <v>24</v>
      </c>
      <c r="BQ61" s="1458">
        <v>735</v>
      </c>
      <c r="BR61" s="1458">
        <v>1353</v>
      </c>
      <c r="BS61" s="1458">
        <v>822</v>
      </c>
      <c r="BT61" s="1458">
        <v>540</v>
      </c>
      <c r="BU61" s="1458">
        <v>1225</v>
      </c>
      <c r="BV61" s="1459">
        <v>601</v>
      </c>
      <c r="BW61" s="553">
        <v>18</v>
      </c>
      <c r="BX61" s="1212">
        <v>253</v>
      </c>
      <c r="BY61" s="1458">
        <v>138</v>
      </c>
      <c r="BZ61" s="1430">
        <v>5</v>
      </c>
      <c r="CA61" s="559">
        <v>9</v>
      </c>
      <c r="CB61" s="559">
        <v>16</v>
      </c>
      <c r="CC61" s="550"/>
      <c r="CD61" s="553">
        <v>60</v>
      </c>
      <c r="CE61" s="1430" t="s">
        <v>153</v>
      </c>
      <c r="CF61" s="1553">
        <v>9050</v>
      </c>
      <c r="CG61" s="1430" t="s">
        <v>153</v>
      </c>
      <c r="CH61" s="560">
        <v>2849.1</v>
      </c>
      <c r="CI61" s="1430">
        <v>257</v>
      </c>
      <c r="CJ61" s="1459">
        <v>192</v>
      </c>
      <c r="CK61" s="553">
        <v>1274</v>
      </c>
      <c r="CL61" s="1429">
        <v>401</v>
      </c>
      <c r="CM61" s="1430">
        <v>279</v>
      </c>
      <c r="CN61" s="1429">
        <v>87.8</v>
      </c>
      <c r="CO61" s="561">
        <v>1042</v>
      </c>
      <c r="CP61" s="1432">
        <v>328</v>
      </c>
      <c r="CQ61" s="544"/>
      <c r="CR61" s="562">
        <v>375</v>
      </c>
      <c r="CS61" s="562">
        <v>3100</v>
      </c>
      <c r="CT61" s="562">
        <v>141</v>
      </c>
      <c r="CU61" s="562">
        <v>1312</v>
      </c>
      <c r="CV61" s="562">
        <v>13627</v>
      </c>
      <c r="CW61" s="562">
        <v>2966</v>
      </c>
      <c r="CX61" s="562">
        <v>4047</v>
      </c>
    </row>
    <row r="62" spans="1:102" ht="15.75" customHeight="1">
      <c r="A62" s="779" t="s">
        <v>234</v>
      </c>
      <c r="B62" s="563">
        <v>6502</v>
      </c>
      <c r="C62" s="638">
        <v>21.6</v>
      </c>
      <c r="D62" s="1523">
        <v>5292</v>
      </c>
      <c r="E62" s="538"/>
      <c r="F62" s="627">
        <v>1</v>
      </c>
      <c r="G62" s="1555">
        <v>125</v>
      </c>
      <c r="H62" s="1555">
        <v>9</v>
      </c>
      <c r="I62" s="1555">
        <v>560</v>
      </c>
      <c r="J62" s="1555">
        <v>19</v>
      </c>
      <c r="K62" s="1555">
        <v>508</v>
      </c>
      <c r="L62" s="1393">
        <v>1</v>
      </c>
      <c r="M62" s="1393">
        <v>50</v>
      </c>
      <c r="N62" s="1379">
        <v>78</v>
      </c>
      <c r="O62" s="1380">
        <v>3261</v>
      </c>
      <c r="P62" s="544">
        <v>1194</v>
      </c>
      <c r="Q62" s="1555">
        <v>7</v>
      </c>
      <c r="R62" s="1379">
        <v>270</v>
      </c>
      <c r="S62" s="1555">
        <v>2</v>
      </c>
      <c r="T62" s="1555">
        <v>8</v>
      </c>
      <c r="U62" s="1379">
        <v>700</v>
      </c>
      <c r="V62" s="1555">
        <v>3</v>
      </c>
      <c r="W62" s="1379">
        <v>170</v>
      </c>
      <c r="X62" s="1555" t="s">
        <v>153</v>
      </c>
      <c r="Y62" s="1379" t="s">
        <v>153</v>
      </c>
      <c r="Z62" s="1380">
        <v>28</v>
      </c>
      <c r="AA62" s="542"/>
      <c r="AB62" s="627">
        <v>83677</v>
      </c>
      <c r="AC62" s="1555">
        <v>16777</v>
      </c>
      <c r="AD62" s="1555">
        <v>24720663465</v>
      </c>
      <c r="AE62" s="1407">
        <v>98.5</v>
      </c>
      <c r="AF62" s="1380">
        <v>11</v>
      </c>
      <c r="AG62" s="544"/>
      <c r="AH62" s="563">
        <v>61004</v>
      </c>
      <c r="AI62" s="1452">
        <v>20.2</v>
      </c>
      <c r="AJ62" s="1393">
        <v>39016</v>
      </c>
      <c r="AK62" s="1452">
        <v>27.8</v>
      </c>
      <c r="AL62" s="1393">
        <v>432841</v>
      </c>
      <c r="AM62" s="1471">
        <v>95.4</v>
      </c>
      <c r="AN62" s="1452">
        <v>37.9</v>
      </c>
      <c r="AO62" s="1237">
        <v>20.2</v>
      </c>
      <c r="AP62" s="546"/>
      <c r="AQ62" s="787">
        <v>2096</v>
      </c>
      <c r="AR62" s="1393">
        <v>26</v>
      </c>
      <c r="AS62" s="1393">
        <v>5081</v>
      </c>
      <c r="AT62" s="635">
        <v>63</v>
      </c>
      <c r="AU62" s="635">
        <v>3325</v>
      </c>
      <c r="AV62" s="1393">
        <v>48</v>
      </c>
      <c r="AW62" s="1393">
        <v>1043</v>
      </c>
      <c r="AX62" s="635">
        <v>13</v>
      </c>
      <c r="AY62" s="1462">
        <v>9</v>
      </c>
      <c r="AZ62" s="1393">
        <v>763</v>
      </c>
      <c r="BA62" s="1462">
        <v>427</v>
      </c>
      <c r="BB62" s="1393">
        <v>580</v>
      </c>
      <c r="BC62" s="1451">
        <v>301</v>
      </c>
      <c r="BD62" s="787">
        <v>51</v>
      </c>
      <c r="BE62" s="1393">
        <v>3559</v>
      </c>
      <c r="BF62" s="550">
        <v>2656</v>
      </c>
      <c r="BG62" s="1393">
        <v>3498</v>
      </c>
      <c r="BH62" s="550">
        <v>2212</v>
      </c>
      <c r="BI62" s="1393" t="s">
        <v>153</v>
      </c>
      <c r="BJ62" s="1462" t="s">
        <v>153</v>
      </c>
      <c r="BK62" s="1462" t="s">
        <v>153</v>
      </c>
      <c r="BL62" s="1462" t="s">
        <v>153</v>
      </c>
      <c r="BM62" s="1462" t="s">
        <v>153</v>
      </c>
      <c r="BN62" s="1462" t="s">
        <v>153</v>
      </c>
      <c r="BO62" s="1451" t="s">
        <v>153</v>
      </c>
      <c r="BP62" s="563">
        <v>27</v>
      </c>
      <c r="BQ62" s="1462">
        <v>1741</v>
      </c>
      <c r="BR62" s="1462">
        <v>1073</v>
      </c>
      <c r="BS62" s="1462">
        <v>917</v>
      </c>
      <c r="BT62" s="1462">
        <v>1259</v>
      </c>
      <c r="BU62" s="1462">
        <v>986</v>
      </c>
      <c r="BV62" s="1451">
        <v>722</v>
      </c>
      <c r="BW62" s="563">
        <v>6</v>
      </c>
      <c r="BX62" s="550">
        <v>144</v>
      </c>
      <c r="BY62" s="1462">
        <v>72</v>
      </c>
      <c r="BZ62" s="1393">
        <v>0</v>
      </c>
      <c r="CA62" s="1058" t="s">
        <v>153</v>
      </c>
      <c r="CB62" s="1058">
        <v>9</v>
      </c>
      <c r="CC62" s="550"/>
      <c r="CD62" s="563">
        <v>32</v>
      </c>
      <c r="CE62" s="1393" t="s">
        <v>153</v>
      </c>
      <c r="CF62" s="1578">
        <v>7184</v>
      </c>
      <c r="CG62" s="1393" t="s">
        <v>153</v>
      </c>
      <c r="CH62" s="1227">
        <v>2382</v>
      </c>
      <c r="CI62" s="1393">
        <v>311</v>
      </c>
      <c r="CJ62" s="1451">
        <v>197</v>
      </c>
      <c r="CK62" s="563">
        <v>1808</v>
      </c>
      <c r="CL62" s="1452">
        <v>599</v>
      </c>
      <c r="CM62" s="1393">
        <v>315</v>
      </c>
      <c r="CN62" s="1452">
        <v>104</v>
      </c>
      <c r="CO62" s="635">
        <v>916</v>
      </c>
      <c r="CP62" s="1453">
        <v>304</v>
      </c>
      <c r="CQ62" s="544"/>
      <c r="CR62" s="1228">
        <v>477</v>
      </c>
      <c r="CS62" s="1228">
        <v>4015</v>
      </c>
      <c r="CT62" s="1228">
        <v>140</v>
      </c>
      <c r="CU62" s="1228">
        <v>1353</v>
      </c>
      <c r="CV62" s="1228">
        <v>11578</v>
      </c>
      <c r="CW62" s="1228">
        <v>2886</v>
      </c>
      <c r="CX62" s="1228">
        <v>4161</v>
      </c>
    </row>
    <row r="63" spans="1:102" ht="15.75" customHeight="1">
      <c r="A63" s="795" t="s">
        <v>236</v>
      </c>
      <c r="B63" s="553">
        <v>11669</v>
      </c>
      <c r="C63" s="521">
        <v>29.5</v>
      </c>
      <c r="D63" s="1430">
        <v>9232</v>
      </c>
      <c r="E63" s="538"/>
      <c r="F63" s="556">
        <v>6</v>
      </c>
      <c r="G63" s="1537">
        <v>300</v>
      </c>
      <c r="H63" s="1537">
        <v>28</v>
      </c>
      <c r="I63" s="1537">
        <v>1650</v>
      </c>
      <c r="J63" s="1537">
        <v>17</v>
      </c>
      <c r="K63" s="1537">
        <v>455</v>
      </c>
      <c r="L63" s="1537">
        <v>3</v>
      </c>
      <c r="M63" s="1537">
        <v>150</v>
      </c>
      <c r="N63" s="1537">
        <v>81</v>
      </c>
      <c r="O63" s="641">
        <v>2449</v>
      </c>
      <c r="P63" s="556">
        <v>1829</v>
      </c>
      <c r="Q63" s="1537">
        <v>11</v>
      </c>
      <c r="R63" s="1539">
        <v>519</v>
      </c>
      <c r="S63" s="1537">
        <v>4</v>
      </c>
      <c r="T63" s="1537">
        <v>16</v>
      </c>
      <c r="U63" s="1537">
        <v>1314</v>
      </c>
      <c r="V63" s="1537">
        <v>3</v>
      </c>
      <c r="W63" s="1537">
        <v>48</v>
      </c>
      <c r="X63" s="1537">
        <v>3</v>
      </c>
      <c r="Y63" s="1537">
        <v>66</v>
      </c>
      <c r="Z63" s="1431">
        <v>10</v>
      </c>
      <c r="AA63" s="542"/>
      <c r="AB63" s="556">
        <v>135288</v>
      </c>
      <c r="AC63" s="1537">
        <v>29205</v>
      </c>
      <c r="AD63" s="1537">
        <v>42240994110</v>
      </c>
      <c r="AE63" s="1408">
        <v>98.5</v>
      </c>
      <c r="AF63" s="641">
        <v>20</v>
      </c>
      <c r="AG63" s="544"/>
      <c r="AH63" s="1269">
        <v>86062</v>
      </c>
      <c r="AI63" s="1429">
        <v>21.58</v>
      </c>
      <c r="AJ63" s="1430">
        <v>59114</v>
      </c>
      <c r="AK63" s="1429">
        <v>28.78</v>
      </c>
      <c r="AL63" s="1430">
        <v>519430</v>
      </c>
      <c r="AM63" s="1411">
        <v>93.09</v>
      </c>
      <c r="AN63" s="1429">
        <v>34.200000000000003</v>
      </c>
      <c r="AO63" s="558">
        <v>30.3</v>
      </c>
      <c r="AP63" s="546"/>
      <c r="AQ63" s="1269">
        <v>2129</v>
      </c>
      <c r="AR63" s="1603">
        <v>25.3</v>
      </c>
      <c r="AS63" s="1430">
        <v>5657</v>
      </c>
      <c r="AT63" s="1386">
        <v>67.2</v>
      </c>
      <c r="AU63" s="561">
        <v>3637</v>
      </c>
      <c r="AV63" s="1603">
        <v>49.9</v>
      </c>
      <c r="AW63" s="1430">
        <v>738</v>
      </c>
      <c r="AX63" s="1386">
        <v>8.8000000000000007</v>
      </c>
      <c r="AY63" s="1458">
        <v>5</v>
      </c>
      <c r="AZ63" s="1430">
        <v>354</v>
      </c>
      <c r="BA63" s="1458">
        <v>196</v>
      </c>
      <c r="BB63" s="1430">
        <v>152</v>
      </c>
      <c r="BC63" s="1459">
        <v>85</v>
      </c>
      <c r="BD63" s="1269">
        <v>71</v>
      </c>
      <c r="BE63" s="1430">
        <v>3075</v>
      </c>
      <c r="BF63" s="1212">
        <v>2435</v>
      </c>
      <c r="BG63" s="1430">
        <v>3032</v>
      </c>
      <c r="BH63" s="1212">
        <v>1995</v>
      </c>
      <c r="BI63" s="1430">
        <v>1</v>
      </c>
      <c r="BJ63" s="1458">
        <v>45</v>
      </c>
      <c r="BK63" s="1458">
        <v>45</v>
      </c>
      <c r="BL63" s="1458">
        <v>27</v>
      </c>
      <c r="BM63" s="1458">
        <v>16</v>
      </c>
      <c r="BN63" s="1458">
        <v>43</v>
      </c>
      <c r="BO63" s="1459">
        <v>19</v>
      </c>
      <c r="BP63" s="1269">
        <v>50</v>
      </c>
      <c r="BQ63" s="1458">
        <v>2153</v>
      </c>
      <c r="BR63" s="1458">
        <v>2397</v>
      </c>
      <c r="BS63" s="1458">
        <v>1854</v>
      </c>
      <c r="BT63" s="1458">
        <v>1506</v>
      </c>
      <c r="BU63" s="1458">
        <v>2427</v>
      </c>
      <c r="BV63" s="1459">
        <v>1533</v>
      </c>
      <c r="BW63" s="553">
        <v>1</v>
      </c>
      <c r="BX63" s="1212">
        <v>9</v>
      </c>
      <c r="BY63" s="1458">
        <v>5</v>
      </c>
      <c r="BZ63" s="1430">
        <v>0</v>
      </c>
      <c r="CA63" s="559">
        <v>4</v>
      </c>
      <c r="CB63" s="559">
        <v>16</v>
      </c>
      <c r="CC63" s="550"/>
      <c r="CD63" s="1269">
        <v>43</v>
      </c>
      <c r="CE63" s="1430" t="s">
        <v>153</v>
      </c>
      <c r="CF63" s="1553">
        <v>9509</v>
      </c>
      <c r="CG63" s="561" t="s">
        <v>153</v>
      </c>
      <c r="CH63" s="1277">
        <v>2384.6999999999998</v>
      </c>
      <c r="CI63" s="1430">
        <v>506</v>
      </c>
      <c r="CJ63" s="1459">
        <v>266</v>
      </c>
      <c r="CK63" s="553">
        <v>2065</v>
      </c>
      <c r="CL63" s="1429">
        <v>517.9</v>
      </c>
      <c r="CM63" s="1430">
        <v>582</v>
      </c>
      <c r="CN63" s="521">
        <v>146</v>
      </c>
      <c r="CO63" s="561">
        <v>1281</v>
      </c>
      <c r="CP63" s="558">
        <v>321.3</v>
      </c>
      <c r="CQ63" s="544"/>
      <c r="CR63" s="562">
        <v>540</v>
      </c>
      <c r="CS63" s="562">
        <v>4386</v>
      </c>
      <c r="CT63" s="562">
        <v>232</v>
      </c>
      <c r="CU63" s="562">
        <v>1932</v>
      </c>
      <c r="CV63" s="562">
        <v>22590</v>
      </c>
      <c r="CW63" s="562">
        <v>4529</v>
      </c>
      <c r="CX63" s="562">
        <v>5460</v>
      </c>
    </row>
    <row r="64" spans="1:102" ht="15.75" customHeight="1">
      <c r="A64" s="779" t="s">
        <v>279</v>
      </c>
      <c r="B64" s="563">
        <v>4787</v>
      </c>
      <c r="C64" s="638">
        <v>20.5</v>
      </c>
      <c r="D64" s="1393">
        <v>3878</v>
      </c>
      <c r="E64" s="538"/>
      <c r="F64" s="544">
        <v>4</v>
      </c>
      <c r="G64" s="1555">
        <v>285</v>
      </c>
      <c r="H64" s="1555">
        <v>20</v>
      </c>
      <c r="I64" s="1555">
        <v>1198</v>
      </c>
      <c r="J64" s="1555">
        <v>5</v>
      </c>
      <c r="K64" s="1555">
        <v>126</v>
      </c>
      <c r="L64" s="1555" t="s">
        <v>153</v>
      </c>
      <c r="M64" s="1555" t="s">
        <v>153</v>
      </c>
      <c r="N64" s="1555">
        <v>72</v>
      </c>
      <c r="O64" s="1380">
        <v>1779</v>
      </c>
      <c r="P64" s="627">
        <v>967</v>
      </c>
      <c r="Q64" s="633">
        <v>8</v>
      </c>
      <c r="R64" s="542">
        <v>400</v>
      </c>
      <c r="S64" s="1555">
        <v>2</v>
      </c>
      <c r="T64" s="1555">
        <v>10</v>
      </c>
      <c r="U64" s="633">
        <v>789</v>
      </c>
      <c r="V64" s="1555">
        <v>4</v>
      </c>
      <c r="W64" s="633">
        <v>158</v>
      </c>
      <c r="X64" s="1555">
        <v>2</v>
      </c>
      <c r="Y64" s="633">
        <v>17</v>
      </c>
      <c r="Z64" s="1380">
        <v>1</v>
      </c>
      <c r="AA64" s="542"/>
      <c r="AB64" s="544">
        <v>77803</v>
      </c>
      <c r="AC64" s="1555">
        <v>15006</v>
      </c>
      <c r="AD64" s="1555">
        <v>22756969879</v>
      </c>
      <c r="AE64" s="1407">
        <v>97.9</v>
      </c>
      <c r="AF64" s="1380">
        <v>9</v>
      </c>
      <c r="AG64" s="544"/>
      <c r="AH64" s="563">
        <v>47732</v>
      </c>
      <c r="AI64" s="1452">
        <v>20.100000000000001</v>
      </c>
      <c r="AJ64" s="1393">
        <v>32538</v>
      </c>
      <c r="AK64" s="1452">
        <v>27.1</v>
      </c>
      <c r="AL64" s="1393">
        <v>427244</v>
      </c>
      <c r="AM64" s="1452">
        <v>92.6</v>
      </c>
      <c r="AN64" s="1452">
        <v>34.700000000000003</v>
      </c>
      <c r="AO64" s="1237">
        <v>75.5</v>
      </c>
      <c r="AP64" s="546"/>
      <c r="AQ64" s="787">
        <v>1597</v>
      </c>
      <c r="AR64" s="1393">
        <v>28.8</v>
      </c>
      <c r="AS64" s="1393">
        <v>3536</v>
      </c>
      <c r="AT64" s="1393">
        <v>63.8</v>
      </c>
      <c r="AU64" s="1393">
        <v>2502</v>
      </c>
      <c r="AV64" s="1393">
        <v>49.7</v>
      </c>
      <c r="AW64" s="1393">
        <v>178</v>
      </c>
      <c r="AX64" s="1393">
        <v>3.2</v>
      </c>
      <c r="AY64" s="1393">
        <v>3</v>
      </c>
      <c r="AZ64" s="1393">
        <v>84</v>
      </c>
      <c r="BA64" s="1393">
        <v>136</v>
      </c>
      <c r="BB64" s="1393">
        <v>113</v>
      </c>
      <c r="BC64" s="1451">
        <v>80</v>
      </c>
      <c r="BD64" s="787">
        <v>52</v>
      </c>
      <c r="BE64" s="1393">
        <v>2131</v>
      </c>
      <c r="BF64" s="1393">
        <v>2051</v>
      </c>
      <c r="BG64" s="1393">
        <v>1904</v>
      </c>
      <c r="BH64" s="1393">
        <v>1454</v>
      </c>
      <c r="BI64" s="1393" t="s">
        <v>153</v>
      </c>
      <c r="BJ64" s="1393" t="s">
        <v>153</v>
      </c>
      <c r="BK64" s="1393" t="s">
        <v>153</v>
      </c>
      <c r="BL64" s="1462" t="s">
        <v>153</v>
      </c>
      <c r="BM64" s="1462" t="s">
        <v>153</v>
      </c>
      <c r="BN64" s="1393" t="s">
        <v>153</v>
      </c>
      <c r="BO64" s="1451" t="s">
        <v>153</v>
      </c>
      <c r="BP64" s="563">
        <v>41</v>
      </c>
      <c r="BQ64" s="1393">
        <v>2055</v>
      </c>
      <c r="BR64" s="1393">
        <v>1757</v>
      </c>
      <c r="BS64" s="1393">
        <v>1193</v>
      </c>
      <c r="BT64" s="1393">
        <v>1454</v>
      </c>
      <c r="BU64" s="1393">
        <v>1513</v>
      </c>
      <c r="BV64" s="1451">
        <v>945</v>
      </c>
      <c r="BW64" s="563">
        <v>4</v>
      </c>
      <c r="BX64" s="1393">
        <v>48</v>
      </c>
      <c r="BY64" s="1393">
        <v>23</v>
      </c>
      <c r="BZ64" s="1393">
        <v>0</v>
      </c>
      <c r="CA64" s="1451" t="s">
        <v>153</v>
      </c>
      <c r="CB64" s="1451">
        <v>10</v>
      </c>
      <c r="CC64" s="550"/>
      <c r="CD64" s="787">
        <v>24</v>
      </c>
      <c r="CE64" s="1393" t="s">
        <v>153</v>
      </c>
      <c r="CF64" s="1578">
        <v>5100</v>
      </c>
      <c r="CG64" s="635" t="s">
        <v>153</v>
      </c>
      <c r="CH64" s="1227">
        <v>2145.6880085490943</v>
      </c>
      <c r="CI64" s="1393">
        <v>219</v>
      </c>
      <c r="CJ64" s="1451">
        <v>123</v>
      </c>
      <c r="CK64" s="563">
        <v>719</v>
      </c>
      <c r="CL64" s="1452">
        <v>302.49993689152916</v>
      </c>
      <c r="CM64" s="1393">
        <v>188</v>
      </c>
      <c r="CN64" s="1452">
        <v>79.095950119064653</v>
      </c>
      <c r="CO64" s="635">
        <v>515</v>
      </c>
      <c r="CP64" s="1453">
        <v>216.67241654956538</v>
      </c>
      <c r="CQ64" s="544"/>
      <c r="CR64" s="1228">
        <v>272</v>
      </c>
      <c r="CS64" s="1228">
        <v>2738</v>
      </c>
      <c r="CT64" s="1228">
        <v>116</v>
      </c>
      <c r="CU64" s="1228">
        <v>987</v>
      </c>
      <c r="CV64" s="1228">
        <v>12621</v>
      </c>
      <c r="CW64" s="1228">
        <v>2948</v>
      </c>
      <c r="CX64" s="1228">
        <v>3416</v>
      </c>
    </row>
    <row r="65" spans="1:102" ht="15.75" customHeight="1">
      <c r="A65" s="795" t="s">
        <v>238</v>
      </c>
      <c r="B65" s="553">
        <v>8189</v>
      </c>
      <c r="C65" s="521">
        <v>17.23</v>
      </c>
      <c r="D65" s="1430">
        <v>6924</v>
      </c>
      <c r="E65" s="538"/>
      <c r="F65" s="556">
        <v>1</v>
      </c>
      <c r="G65" s="1537">
        <v>65</v>
      </c>
      <c r="H65" s="1537">
        <v>20</v>
      </c>
      <c r="I65" s="1537">
        <v>1124</v>
      </c>
      <c r="J65" s="1537">
        <v>15</v>
      </c>
      <c r="K65" s="1537">
        <v>362</v>
      </c>
      <c r="L65" s="1537">
        <v>1</v>
      </c>
      <c r="M65" s="1537">
        <v>50</v>
      </c>
      <c r="N65" s="1537">
        <v>194</v>
      </c>
      <c r="O65" s="641">
        <v>6938</v>
      </c>
      <c r="P65" s="556">
        <v>1682</v>
      </c>
      <c r="Q65" s="1537">
        <v>7</v>
      </c>
      <c r="R65" s="1539">
        <v>350</v>
      </c>
      <c r="S65" s="1537" t="s">
        <v>153</v>
      </c>
      <c r="T65" s="1537">
        <v>20</v>
      </c>
      <c r="U65" s="1537">
        <v>1124</v>
      </c>
      <c r="V65" s="1537">
        <v>3</v>
      </c>
      <c r="W65" s="1537">
        <v>68</v>
      </c>
      <c r="X65" s="1537" t="s">
        <v>153</v>
      </c>
      <c r="Y65" s="1537" t="s">
        <v>153</v>
      </c>
      <c r="Z65" s="1431">
        <v>7</v>
      </c>
      <c r="AA65" s="542"/>
      <c r="AB65" s="556">
        <v>134081</v>
      </c>
      <c r="AC65" s="1537">
        <v>26652</v>
      </c>
      <c r="AD65" s="1537">
        <v>38689927517</v>
      </c>
      <c r="AE65" s="1408">
        <v>98.04</v>
      </c>
      <c r="AF65" s="641">
        <v>23</v>
      </c>
      <c r="AG65" s="544"/>
      <c r="AH65" s="1269">
        <v>81613</v>
      </c>
      <c r="AI65" s="1429">
        <v>17.18</v>
      </c>
      <c r="AJ65" s="1430">
        <v>55468</v>
      </c>
      <c r="AK65" s="1429">
        <v>24.17</v>
      </c>
      <c r="AL65" s="1430">
        <v>477813</v>
      </c>
      <c r="AM65" s="1411">
        <v>96.21</v>
      </c>
      <c r="AN65" s="1429">
        <v>33.4</v>
      </c>
      <c r="AO65" s="558">
        <v>26.1</v>
      </c>
      <c r="AP65" s="546"/>
      <c r="AQ65" s="1269">
        <v>2519</v>
      </c>
      <c r="AR65" s="1430">
        <v>21</v>
      </c>
      <c r="AS65" s="1430">
        <v>7113</v>
      </c>
      <c r="AT65" s="561">
        <v>60</v>
      </c>
      <c r="AU65" s="561">
        <v>5432</v>
      </c>
      <c r="AV65" s="1430">
        <v>51</v>
      </c>
      <c r="AW65" s="1430">
        <v>1650</v>
      </c>
      <c r="AX65" s="561">
        <v>14</v>
      </c>
      <c r="AY65" s="1458">
        <v>10</v>
      </c>
      <c r="AZ65" s="1430">
        <v>649</v>
      </c>
      <c r="BA65" s="1458">
        <v>237</v>
      </c>
      <c r="BB65" s="1430">
        <v>559</v>
      </c>
      <c r="BC65" s="1459">
        <v>304</v>
      </c>
      <c r="BD65" s="1269">
        <v>55</v>
      </c>
      <c r="BE65" s="1430">
        <v>2538</v>
      </c>
      <c r="BF65" s="1212">
        <v>1937</v>
      </c>
      <c r="BG65" s="1430">
        <v>2498</v>
      </c>
      <c r="BH65" s="1212">
        <v>1772</v>
      </c>
      <c r="BI65" s="1430">
        <v>3</v>
      </c>
      <c r="BJ65" s="1458">
        <v>89</v>
      </c>
      <c r="BK65" s="1458">
        <v>106</v>
      </c>
      <c r="BL65" s="1458">
        <v>74</v>
      </c>
      <c r="BM65" s="1458">
        <v>42</v>
      </c>
      <c r="BN65" s="1458">
        <v>133</v>
      </c>
      <c r="BO65" s="1459">
        <v>74</v>
      </c>
      <c r="BP65" s="1269">
        <v>60</v>
      </c>
      <c r="BQ65" s="1458">
        <v>2523</v>
      </c>
      <c r="BR65" s="1458">
        <v>3601</v>
      </c>
      <c r="BS65" s="1458">
        <v>2456</v>
      </c>
      <c r="BT65" s="1458">
        <v>1975</v>
      </c>
      <c r="BU65" s="1458">
        <v>3597</v>
      </c>
      <c r="BV65" s="1459">
        <v>2194</v>
      </c>
      <c r="BW65" s="553">
        <v>27</v>
      </c>
      <c r="BX65" s="1212">
        <v>414</v>
      </c>
      <c r="BY65" s="1458">
        <v>351</v>
      </c>
      <c r="BZ65" s="1430">
        <v>0</v>
      </c>
      <c r="CA65" s="559">
        <v>1</v>
      </c>
      <c r="CB65" s="559">
        <v>11</v>
      </c>
      <c r="CC65" s="787"/>
      <c r="CD65" s="553">
        <v>53</v>
      </c>
      <c r="CE65" s="1430" t="s">
        <v>153</v>
      </c>
      <c r="CF65" s="1553">
        <v>8796</v>
      </c>
      <c r="CG65" s="561" t="s">
        <v>153</v>
      </c>
      <c r="CH65" s="1277">
        <v>1851.1</v>
      </c>
      <c r="CI65" s="1430">
        <v>396</v>
      </c>
      <c r="CJ65" s="1459">
        <v>222</v>
      </c>
      <c r="CK65" s="553">
        <v>1341</v>
      </c>
      <c r="CL65" s="1429">
        <v>282.2</v>
      </c>
      <c r="CM65" s="1430">
        <v>319</v>
      </c>
      <c r="CN65" s="521">
        <v>67.099999999999994</v>
      </c>
      <c r="CO65" s="561">
        <v>1111</v>
      </c>
      <c r="CP65" s="558">
        <v>233.8</v>
      </c>
      <c r="CQ65" s="544"/>
      <c r="CR65" s="562">
        <v>635</v>
      </c>
      <c r="CS65" s="562">
        <v>5145</v>
      </c>
      <c r="CT65" s="562">
        <v>191</v>
      </c>
      <c r="CU65" s="562">
        <v>2434</v>
      </c>
      <c r="CV65" s="562">
        <v>20594</v>
      </c>
      <c r="CW65" s="562">
        <v>4664</v>
      </c>
      <c r="CX65" s="562">
        <v>5773</v>
      </c>
    </row>
    <row r="66" spans="1:102" ht="15.75" customHeight="1">
      <c r="A66" s="779" t="s">
        <v>239</v>
      </c>
      <c r="B66" s="1077">
        <v>8147</v>
      </c>
      <c r="C66" s="1079">
        <v>20.5</v>
      </c>
      <c r="D66" s="1499">
        <v>6664</v>
      </c>
      <c r="E66" s="1218"/>
      <c r="F66" s="873">
        <v>6</v>
      </c>
      <c r="G66" s="1599">
        <v>344</v>
      </c>
      <c r="H66" s="1599">
        <v>24</v>
      </c>
      <c r="I66" s="1599">
        <v>1533</v>
      </c>
      <c r="J66" s="1599">
        <v>1</v>
      </c>
      <c r="K66" s="1599">
        <v>22</v>
      </c>
      <c r="L66" s="1599">
        <v>2</v>
      </c>
      <c r="M66" s="1599">
        <v>100</v>
      </c>
      <c r="N66" s="1599">
        <v>204</v>
      </c>
      <c r="O66" s="1424">
        <v>5383</v>
      </c>
      <c r="P66" s="515">
        <f>122+19+984+42+334</f>
        <v>1501</v>
      </c>
      <c r="Q66" s="870">
        <v>7</v>
      </c>
      <c r="R66" s="1219">
        <v>280</v>
      </c>
      <c r="S66" s="1599">
        <v>3</v>
      </c>
      <c r="T66" s="1599">
        <v>12</v>
      </c>
      <c r="U66" s="870">
        <v>992</v>
      </c>
      <c r="V66" s="1599">
        <v>4</v>
      </c>
      <c r="W66" s="870">
        <v>144</v>
      </c>
      <c r="X66" s="1599">
        <v>2</v>
      </c>
      <c r="Y66" s="870">
        <v>36</v>
      </c>
      <c r="Z66" s="1424">
        <v>2</v>
      </c>
      <c r="AA66" s="1219"/>
      <c r="AB66" s="873">
        <v>114957</v>
      </c>
      <c r="AC66" s="1599">
        <v>19159</v>
      </c>
      <c r="AD66" s="1599">
        <v>33075599092</v>
      </c>
      <c r="AE66" s="1601">
        <v>97.97</v>
      </c>
      <c r="AF66" s="1424">
        <v>19</v>
      </c>
      <c r="AG66" s="873"/>
      <c r="AH66" s="1077">
        <v>80784</v>
      </c>
      <c r="AI66" s="1425">
        <v>20.3</v>
      </c>
      <c r="AJ66" s="1499">
        <v>53992</v>
      </c>
      <c r="AK66" s="1425">
        <v>26.85</v>
      </c>
      <c r="AL66" s="1499">
        <v>407361</v>
      </c>
      <c r="AM66" s="1425">
        <v>93.1</v>
      </c>
      <c r="AN66" s="1425">
        <v>29.6</v>
      </c>
      <c r="AO66" s="1272">
        <v>16.600000000000001</v>
      </c>
      <c r="AP66" s="1221"/>
      <c r="AQ66" s="508">
        <v>2603</v>
      </c>
      <c r="AR66" s="1499">
        <v>26</v>
      </c>
      <c r="AS66" s="1499">
        <v>6726</v>
      </c>
      <c r="AT66" s="1499">
        <v>67</v>
      </c>
      <c r="AU66" s="1499">
        <v>4949</v>
      </c>
      <c r="AV66" s="1499">
        <v>55</v>
      </c>
      <c r="AW66" s="1499">
        <v>1252</v>
      </c>
      <c r="AX66" s="1499">
        <v>12</v>
      </c>
      <c r="AY66" s="1499">
        <v>5</v>
      </c>
      <c r="AZ66" s="1499">
        <v>175</v>
      </c>
      <c r="BA66" s="1499">
        <v>120</v>
      </c>
      <c r="BB66" s="1499">
        <v>150</v>
      </c>
      <c r="BC66" s="1507">
        <v>83</v>
      </c>
      <c r="BD66" s="508">
        <v>75</v>
      </c>
      <c r="BE66" s="1499">
        <v>3408</v>
      </c>
      <c r="BF66" s="1499">
        <v>2507</v>
      </c>
      <c r="BG66" s="1499">
        <v>3302</v>
      </c>
      <c r="BH66" s="1499">
        <v>2369</v>
      </c>
      <c r="BI66" s="1499" t="s">
        <v>153</v>
      </c>
      <c r="BJ66" s="1499" t="s">
        <v>153</v>
      </c>
      <c r="BK66" s="1499" t="s">
        <v>153</v>
      </c>
      <c r="BL66" s="1499" t="s">
        <v>153</v>
      </c>
      <c r="BM66" s="1392" t="s">
        <v>153</v>
      </c>
      <c r="BN66" s="1499" t="s">
        <v>153</v>
      </c>
      <c r="BO66" s="1499" t="s">
        <v>153</v>
      </c>
      <c r="BP66" s="1077">
        <v>69</v>
      </c>
      <c r="BQ66" s="1499">
        <v>2275</v>
      </c>
      <c r="BR66" s="1499">
        <v>3322</v>
      </c>
      <c r="BS66" s="1499">
        <v>2671</v>
      </c>
      <c r="BT66" s="1499">
        <v>1731</v>
      </c>
      <c r="BU66" s="1499">
        <v>3274</v>
      </c>
      <c r="BV66" s="1507">
        <v>2387</v>
      </c>
      <c r="BW66" s="1077">
        <v>11</v>
      </c>
      <c r="BX66" s="1499">
        <v>153</v>
      </c>
      <c r="BY66" s="1499">
        <v>109</v>
      </c>
      <c r="BZ66" s="1499">
        <v>0</v>
      </c>
      <c r="CA66" s="1507">
        <v>16</v>
      </c>
      <c r="CB66" s="1507">
        <v>35</v>
      </c>
      <c r="CC66" s="508"/>
      <c r="CD66" s="1077">
        <v>36</v>
      </c>
      <c r="CE66" s="1499">
        <v>1</v>
      </c>
      <c r="CF66" s="1524">
        <v>6622</v>
      </c>
      <c r="CG66" s="1078">
        <v>42</v>
      </c>
      <c r="CH66" s="1273">
        <v>1664.2</v>
      </c>
      <c r="CI66" s="1499">
        <v>400</v>
      </c>
      <c r="CJ66" s="1507">
        <v>225</v>
      </c>
      <c r="CK66" s="1077">
        <v>1616</v>
      </c>
      <c r="CL66" s="1425">
        <v>402.7</v>
      </c>
      <c r="CM66" s="1499">
        <v>346</v>
      </c>
      <c r="CN66" s="1425">
        <v>86.2</v>
      </c>
      <c r="CO66" s="1078">
        <v>1067</v>
      </c>
      <c r="CP66" s="1500">
        <v>265.89999999999998</v>
      </c>
      <c r="CQ66" s="873"/>
      <c r="CR66" s="1274">
        <v>470</v>
      </c>
      <c r="CS66" s="1274">
        <v>5005</v>
      </c>
      <c r="CT66" s="1274">
        <v>139</v>
      </c>
      <c r="CU66" s="1274">
        <v>1497</v>
      </c>
      <c r="CV66" s="1274">
        <v>17131</v>
      </c>
      <c r="CW66" s="1274">
        <v>3882</v>
      </c>
      <c r="CX66" s="1274">
        <v>5280</v>
      </c>
    </row>
    <row r="67" spans="1:102" ht="15.75" customHeight="1">
      <c r="A67" s="795" t="s">
        <v>241</v>
      </c>
      <c r="B67" s="554">
        <v>14448</v>
      </c>
      <c r="C67" s="1408">
        <v>25</v>
      </c>
      <c r="D67" s="1431">
        <v>11579</v>
      </c>
      <c r="E67" s="538"/>
      <c r="F67" s="554">
        <v>2</v>
      </c>
      <c r="G67" s="1537">
        <v>110</v>
      </c>
      <c r="H67" s="1537">
        <v>47</v>
      </c>
      <c r="I67" s="1537">
        <v>2791</v>
      </c>
      <c r="J67" s="1537">
        <v>7</v>
      </c>
      <c r="K67" s="1537">
        <v>156</v>
      </c>
      <c r="L67" s="1537">
        <v>1</v>
      </c>
      <c r="M67" s="1537">
        <v>38</v>
      </c>
      <c r="N67" s="1537">
        <v>210</v>
      </c>
      <c r="O67" s="1431">
        <v>5527</v>
      </c>
      <c r="P67" s="554">
        <v>2377</v>
      </c>
      <c r="Q67" s="1537">
        <v>15</v>
      </c>
      <c r="R67" s="1539">
        <v>508</v>
      </c>
      <c r="S67" s="1537">
        <v>7</v>
      </c>
      <c r="T67" s="1537">
        <v>19</v>
      </c>
      <c r="U67" s="1537">
        <v>1348</v>
      </c>
      <c r="V67" s="1537">
        <v>7</v>
      </c>
      <c r="W67" s="1537">
        <v>235</v>
      </c>
      <c r="X67" s="1537" t="s">
        <v>153</v>
      </c>
      <c r="Y67" s="1537" t="s">
        <v>153</v>
      </c>
      <c r="Z67" s="1431">
        <v>1</v>
      </c>
      <c r="AA67" s="542"/>
      <c r="AB67" s="556">
        <v>169619</v>
      </c>
      <c r="AC67" s="1537">
        <v>34936</v>
      </c>
      <c r="AD67" s="1537">
        <v>50341081787</v>
      </c>
      <c r="AE67" s="1408">
        <v>97.6</v>
      </c>
      <c r="AF67" s="1431">
        <v>20</v>
      </c>
      <c r="AG67" s="544"/>
      <c r="AH67" s="553">
        <v>111098</v>
      </c>
      <c r="AI67" s="1429">
        <v>18.600000000000001</v>
      </c>
      <c r="AJ67" s="1430">
        <v>75980</v>
      </c>
      <c r="AK67" s="1429">
        <v>25.1</v>
      </c>
      <c r="AL67" s="1430">
        <v>498595</v>
      </c>
      <c r="AM67" s="1429">
        <v>93.1</v>
      </c>
      <c r="AN67" s="1429">
        <v>34.5</v>
      </c>
      <c r="AO67" s="558">
        <v>27.1</v>
      </c>
      <c r="AP67" s="546"/>
      <c r="AQ67" s="1269">
        <v>4874</v>
      </c>
      <c r="AR67" s="1430">
        <v>32.5</v>
      </c>
      <c r="AS67" s="1430">
        <v>7662</v>
      </c>
      <c r="AT67" s="1430">
        <v>51.1</v>
      </c>
      <c r="AU67" s="1430">
        <v>4695</v>
      </c>
      <c r="AV67" s="1430">
        <v>34.299999999999997</v>
      </c>
      <c r="AW67" s="1430">
        <v>2946</v>
      </c>
      <c r="AX67" s="1430">
        <v>19.600000000000001</v>
      </c>
      <c r="AY67" s="1430">
        <v>11</v>
      </c>
      <c r="AZ67" s="1430">
        <v>508</v>
      </c>
      <c r="BA67" s="1430">
        <v>382</v>
      </c>
      <c r="BB67" s="1430">
        <v>421</v>
      </c>
      <c r="BC67" s="1459">
        <v>277</v>
      </c>
      <c r="BD67" s="553">
        <v>108</v>
      </c>
      <c r="BE67" s="1430">
        <v>4390</v>
      </c>
      <c r="BF67" s="1212">
        <v>4260</v>
      </c>
      <c r="BG67" s="1430">
        <v>4932</v>
      </c>
      <c r="BH67" s="1430">
        <v>3278</v>
      </c>
      <c r="BI67" s="1430" t="s">
        <v>148</v>
      </c>
      <c r="BJ67" s="1430" t="s">
        <v>148</v>
      </c>
      <c r="BK67" s="1430" t="s">
        <v>148</v>
      </c>
      <c r="BL67" s="1458" t="s">
        <v>148</v>
      </c>
      <c r="BM67" s="1458" t="s">
        <v>148</v>
      </c>
      <c r="BN67" s="1430" t="s">
        <v>148</v>
      </c>
      <c r="BO67" s="1459" t="s">
        <v>148</v>
      </c>
      <c r="BP67" s="553">
        <v>62</v>
      </c>
      <c r="BQ67" s="1430">
        <v>5479</v>
      </c>
      <c r="BR67" s="1430">
        <v>2161</v>
      </c>
      <c r="BS67" s="1430">
        <v>1725</v>
      </c>
      <c r="BT67" s="1430">
        <v>4031</v>
      </c>
      <c r="BU67" s="1430">
        <v>2284</v>
      </c>
      <c r="BV67" s="1459">
        <v>1303</v>
      </c>
      <c r="BW67" s="553" t="s">
        <v>148</v>
      </c>
      <c r="BX67" s="1212" t="s">
        <v>148</v>
      </c>
      <c r="BY67" s="1430" t="s">
        <v>148</v>
      </c>
      <c r="BZ67" s="1430">
        <v>21</v>
      </c>
      <c r="CA67" s="559">
        <v>3</v>
      </c>
      <c r="CB67" s="559">
        <v>17</v>
      </c>
      <c r="CC67" s="787"/>
      <c r="CD67" s="553">
        <v>85</v>
      </c>
      <c r="CE67" s="1430">
        <v>1</v>
      </c>
      <c r="CF67" s="1430">
        <v>13779</v>
      </c>
      <c r="CG67" s="561">
        <v>574</v>
      </c>
      <c r="CH67" s="560">
        <v>2311</v>
      </c>
      <c r="CI67" s="1430">
        <v>551</v>
      </c>
      <c r="CJ67" s="1459">
        <v>374</v>
      </c>
      <c r="CK67" s="553">
        <v>2692</v>
      </c>
      <c r="CL67" s="1429">
        <v>453.9</v>
      </c>
      <c r="CM67" s="1430">
        <v>767</v>
      </c>
      <c r="CN67" s="1429">
        <v>129.30000000000001</v>
      </c>
      <c r="CO67" s="561">
        <v>1617</v>
      </c>
      <c r="CP67" s="1432">
        <v>272.60000000000002</v>
      </c>
      <c r="CQ67" s="544"/>
      <c r="CR67" s="562">
        <v>802</v>
      </c>
      <c r="CS67" s="562">
        <v>7548</v>
      </c>
      <c r="CT67" s="562">
        <v>536</v>
      </c>
      <c r="CU67" s="562">
        <v>7440</v>
      </c>
      <c r="CV67" s="562">
        <v>29031</v>
      </c>
      <c r="CW67" s="562">
        <v>6574</v>
      </c>
      <c r="CX67" s="562">
        <v>7548</v>
      </c>
    </row>
    <row r="68" spans="1:102" ht="15.75" customHeight="1" thickBot="1">
      <c r="A68" s="779" t="s">
        <v>243</v>
      </c>
      <c r="B68" s="787">
        <v>13257</v>
      </c>
      <c r="C68" s="1088">
        <v>42.01</v>
      </c>
      <c r="D68" s="1393">
        <v>10644</v>
      </c>
      <c r="E68" s="538"/>
      <c r="F68" s="627">
        <v>1</v>
      </c>
      <c r="G68" s="1555">
        <v>70</v>
      </c>
      <c r="H68" s="1555">
        <v>7</v>
      </c>
      <c r="I68" s="1555">
        <v>620</v>
      </c>
      <c r="J68" s="1555">
        <v>7</v>
      </c>
      <c r="K68" s="1555">
        <v>620</v>
      </c>
      <c r="L68" s="1555" t="s">
        <v>153</v>
      </c>
      <c r="M68" s="1555" t="s">
        <v>153</v>
      </c>
      <c r="N68" s="1379">
        <v>90</v>
      </c>
      <c r="O68" s="1380">
        <v>2683</v>
      </c>
      <c r="P68" s="627">
        <v>841</v>
      </c>
      <c r="Q68" s="1555">
        <v>1</v>
      </c>
      <c r="R68" s="1379">
        <v>50</v>
      </c>
      <c r="S68" s="1555">
        <v>4</v>
      </c>
      <c r="T68" s="1555">
        <v>6</v>
      </c>
      <c r="U68" s="1379">
        <v>482</v>
      </c>
      <c r="V68" s="1555">
        <v>1</v>
      </c>
      <c r="W68" s="1379">
        <v>21</v>
      </c>
      <c r="X68" s="1555" t="s">
        <v>153</v>
      </c>
      <c r="Y68" s="1379" t="s">
        <v>153</v>
      </c>
      <c r="Z68" s="1380">
        <v>3</v>
      </c>
      <c r="AA68" s="542"/>
      <c r="AB68" s="627">
        <v>77255</v>
      </c>
      <c r="AC68" s="1555">
        <v>14851</v>
      </c>
      <c r="AD68" s="1555">
        <v>23196116013</v>
      </c>
      <c r="AE68" s="1407">
        <v>95.3</v>
      </c>
      <c r="AF68" s="1380">
        <v>18</v>
      </c>
      <c r="AG68" s="544"/>
      <c r="AH68" s="563">
        <v>73200</v>
      </c>
      <c r="AI68" s="1452">
        <v>23.2</v>
      </c>
      <c r="AJ68" s="1393">
        <v>48283</v>
      </c>
      <c r="AK68" s="1452">
        <v>30.6</v>
      </c>
      <c r="AL68" s="1393">
        <v>391932</v>
      </c>
      <c r="AM68" s="1471">
        <v>93.3</v>
      </c>
      <c r="AN68" s="1452">
        <v>30.2</v>
      </c>
      <c r="AO68" s="1237">
        <v>47.5</v>
      </c>
      <c r="AP68" s="546"/>
      <c r="AQ68" s="787">
        <v>856</v>
      </c>
      <c r="AR68" s="1083">
        <v>10</v>
      </c>
      <c r="AS68" s="1462">
        <v>6487</v>
      </c>
      <c r="AT68" s="1462">
        <v>77</v>
      </c>
      <c r="AU68" s="1393">
        <v>4377</v>
      </c>
      <c r="AV68" s="1393">
        <v>58</v>
      </c>
      <c r="AW68" s="1462">
        <v>801</v>
      </c>
      <c r="AX68" s="1462">
        <v>10</v>
      </c>
      <c r="AY68" s="1393" t="s">
        <v>153</v>
      </c>
      <c r="AZ68" s="1462" t="s">
        <v>153</v>
      </c>
      <c r="BA68" s="1462" t="s">
        <v>153</v>
      </c>
      <c r="BB68" s="1462" t="s">
        <v>153</v>
      </c>
      <c r="BC68" s="1451" t="s">
        <v>153</v>
      </c>
      <c r="BD68" s="563">
        <v>76</v>
      </c>
      <c r="BE68" s="1462">
        <v>3067</v>
      </c>
      <c r="BF68" s="1462">
        <v>3235</v>
      </c>
      <c r="BG68" s="1462">
        <v>2875</v>
      </c>
      <c r="BH68" s="1462">
        <v>2840</v>
      </c>
      <c r="BI68" s="1393">
        <v>19</v>
      </c>
      <c r="BJ68" s="1462">
        <v>360</v>
      </c>
      <c r="BK68" s="1462">
        <v>1443</v>
      </c>
      <c r="BL68" s="1462">
        <v>197</v>
      </c>
      <c r="BM68" s="1462">
        <v>157</v>
      </c>
      <c r="BN68" s="1462">
        <v>1015</v>
      </c>
      <c r="BO68" s="1451">
        <v>197</v>
      </c>
      <c r="BP68" s="563">
        <v>42</v>
      </c>
      <c r="BQ68" s="1462">
        <v>684</v>
      </c>
      <c r="BR68" s="1462">
        <v>2654</v>
      </c>
      <c r="BS68" s="1462">
        <v>1093</v>
      </c>
      <c r="BT68" s="1462">
        <v>529</v>
      </c>
      <c r="BU68" s="1462">
        <v>2634</v>
      </c>
      <c r="BV68" s="1451">
        <v>1031</v>
      </c>
      <c r="BW68" s="563">
        <v>20</v>
      </c>
      <c r="BX68" s="550">
        <v>387</v>
      </c>
      <c r="BY68" s="1462">
        <v>290</v>
      </c>
      <c r="BZ68" s="1462">
        <v>48</v>
      </c>
      <c r="CA68" s="1462">
        <v>10</v>
      </c>
      <c r="CB68" s="1228">
        <v>17</v>
      </c>
      <c r="CC68" s="787"/>
      <c r="CD68" s="1278">
        <v>17</v>
      </c>
      <c r="CE68" s="1393">
        <v>1</v>
      </c>
      <c r="CF68" s="1578">
        <v>3521</v>
      </c>
      <c r="CG68" s="1393">
        <v>470</v>
      </c>
      <c r="CH68" s="1227">
        <v>1115.9000000000001</v>
      </c>
      <c r="CI68" s="1393">
        <v>275</v>
      </c>
      <c r="CJ68" s="1451">
        <v>182</v>
      </c>
      <c r="CK68" s="563">
        <v>820</v>
      </c>
      <c r="CL68" s="1452">
        <v>258.2</v>
      </c>
      <c r="CM68" s="1393">
        <v>243</v>
      </c>
      <c r="CN68" s="1452">
        <v>76.5</v>
      </c>
      <c r="CO68" s="635">
        <v>676</v>
      </c>
      <c r="CP68" s="1453">
        <v>212.8</v>
      </c>
      <c r="CQ68" s="544"/>
      <c r="CR68" s="1228">
        <v>402</v>
      </c>
      <c r="CS68" s="1228">
        <v>4727</v>
      </c>
      <c r="CT68" s="1228">
        <v>219</v>
      </c>
      <c r="CU68" s="1228">
        <v>1981</v>
      </c>
      <c r="CV68" s="1228">
        <v>13258</v>
      </c>
      <c r="CW68" s="1228">
        <v>3479</v>
      </c>
      <c r="CX68" s="1228">
        <v>7159</v>
      </c>
    </row>
    <row r="69" spans="1:102" s="593" customFormat="1" ht="15.75" customHeight="1" thickTop="1">
      <c r="A69" s="816" t="s">
        <v>244</v>
      </c>
      <c r="B69" s="1279">
        <f>SUM(B7:B68)</f>
        <v>398735</v>
      </c>
      <c r="C69" s="1144" t="s">
        <v>148</v>
      </c>
      <c r="D69" s="1280">
        <f>SUM(D7:D68)</f>
        <v>325650</v>
      </c>
      <c r="E69" s="538"/>
      <c r="F69" s="1279">
        <f t="shared" ref="F69:Z69" si="0">SUM(F7:F68)</f>
        <v>117</v>
      </c>
      <c r="G69" s="1144">
        <f t="shared" si="0"/>
        <v>9134</v>
      </c>
      <c r="H69" s="1144">
        <f t="shared" si="0"/>
        <v>1238</v>
      </c>
      <c r="I69" s="1144">
        <f t="shared" si="0"/>
        <v>90214</v>
      </c>
      <c r="J69" s="1144">
        <f t="shared" si="0"/>
        <v>560</v>
      </c>
      <c r="K69" s="1144">
        <f t="shared" si="0"/>
        <v>15628</v>
      </c>
      <c r="L69" s="1144">
        <f t="shared" si="0"/>
        <v>53</v>
      </c>
      <c r="M69" s="1144">
        <f t="shared" si="0"/>
        <v>2823</v>
      </c>
      <c r="N69" s="1144">
        <f t="shared" si="0"/>
        <v>5068</v>
      </c>
      <c r="O69" s="1281">
        <f t="shared" si="0"/>
        <v>179431</v>
      </c>
      <c r="P69" s="1282">
        <f t="shared" si="0"/>
        <v>74443</v>
      </c>
      <c r="Q69" s="1144">
        <f t="shared" si="0"/>
        <v>410</v>
      </c>
      <c r="R69" s="1144">
        <f t="shared" si="0"/>
        <v>17400</v>
      </c>
      <c r="S69" s="1144">
        <f t="shared" si="0"/>
        <v>263</v>
      </c>
      <c r="T69" s="1144">
        <f t="shared" si="0"/>
        <v>660</v>
      </c>
      <c r="U69" s="1144">
        <f t="shared" si="0"/>
        <v>58474</v>
      </c>
      <c r="V69" s="1144">
        <f t="shared" si="0"/>
        <v>151</v>
      </c>
      <c r="W69" s="1144">
        <f t="shared" si="0"/>
        <v>8440</v>
      </c>
      <c r="X69" s="1144">
        <f t="shared" si="0"/>
        <v>44</v>
      </c>
      <c r="Y69" s="1144">
        <f t="shared" si="0"/>
        <v>1368</v>
      </c>
      <c r="Z69" s="1281">
        <f t="shared" si="0"/>
        <v>315</v>
      </c>
      <c r="AA69" s="542"/>
      <c r="AB69" s="1279">
        <f>SUM(AB7:AB68)</f>
        <v>6314354</v>
      </c>
      <c r="AC69" s="1144">
        <f>SUM(AC7:AC68)</f>
        <v>1276301</v>
      </c>
      <c r="AD69" s="1144">
        <f>SUM(AD7:AD68)</f>
        <v>1864911282976</v>
      </c>
      <c r="AE69" s="1144" t="s">
        <v>148</v>
      </c>
      <c r="AF69" s="1281">
        <f>SUM(AF7:AF68)</f>
        <v>931</v>
      </c>
      <c r="AG69" s="544"/>
      <c r="AH69" s="1282">
        <f>SUM(AH7:AH68)</f>
        <v>4169329</v>
      </c>
      <c r="AI69" s="1144" t="s">
        <v>148</v>
      </c>
      <c r="AJ69" s="1144">
        <f>SUM(AJ7:AJ68)</f>
        <v>2834183</v>
      </c>
      <c r="AK69" s="1144" t="s">
        <v>148</v>
      </c>
      <c r="AL69" s="1144">
        <f>SUM(AL7:AL68)</f>
        <v>26187853.997598633</v>
      </c>
      <c r="AM69" s="1144" t="s">
        <v>148</v>
      </c>
      <c r="AN69" s="1144" t="s">
        <v>148</v>
      </c>
      <c r="AO69" s="1281" t="s">
        <v>148</v>
      </c>
      <c r="AP69" s="544"/>
      <c r="AQ69" s="1283">
        <f t="shared" ref="AQ69:CB69" si="1">SUM(AQ7:AQ68)</f>
        <v>106027</v>
      </c>
      <c r="AR69" s="1284" t="s">
        <v>153</v>
      </c>
      <c r="AS69" s="1284">
        <f t="shared" si="1"/>
        <v>296174</v>
      </c>
      <c r="AT69" s="1284" t="s">
        <v>153</v>
      </c>
      <c r="AU69" s="1284">
        <f t="shared" si="1"/>
        <v>206720</v>
      </c>
      <c r="AV69" s="1284" t="s">
        <v>153</v>
      </c>
      <c r="AW69" s="1284">
        <f>SUM(AW7:AW68)</f>
        <v>57103</v>
      </c>
      <c r="AX69" s="1284" t="s">
        <v>153</v>
      </c>
      <c r="AY69" s="1284">
        <f t="shared" si="1"/>
        <v>967</v>
      </c>
      <c r="AZ69" s="1284">
        <f t="shared" si="1"/>
        <v>67995</v>
      </c>
      <c r="BA69" s="1284">
        <f t="shared" si="1"/>
        <v>35104</v>
      </c>
      <c r="BB69" s="1284">
        <f t="shared" si="1"/>
        <v>53941</v>
      </c>
      <c r="BC69" s="1285">
        <f t="shared" si="1"/>
        <v>27402</v>
      </c>
      <c r="BD69" s="1286">
        <f t="shared" si="1"/>
        <v>2292</v>
      </c>
      <c r="BE69" s="1284">
        <f t="shared" si="1"/>
        <v>116454</v>
      </c>
      <c r="BF69" s="1284">
        <f t="shared" si="1"/>
        <v>91175</v>
      </c>
      <c r="BG69" s="1284">
        <f t="shared" si="1"/>
        <v>114208</v>
      </c>
      <c r="BH69" s="1284">
        <f t="shared" si="1"/>
        <v>81367</v>
      </c>
      <c r="BI69" s="1284">
        <f t="shared" si="1"/>
        <v>170</v>
      </c>
      <c r="BJ69" s="1284">
        <f t="shared" si="1"/>
        <v>7564</v>
      </c>
      <c r="BK69" s="1284">
        <f t="shared" si="1"/>
        <v>11083</v>
      </c>
      <c r="BL69" s="1287">
        <f t="shared" si="1"/>
        <v>4633</v>
      </c>
      <c r="BM69" s="1287">
        <f t="shared" si="1"/>
        <v>4403</v>
      </c>
      <c r="BN69" s="1284">
        <f t="shared" si="1"/>
        <v>9521</v>
      </c>
      <c r="BO69" s="1285">
        <f t="shared" si="1"/>
        <v>3602</v>
      </c>
      <c r="BP69" s="1286">
        <f t="shared" si="1"/>
        <v>2017</v>
      </c>
      <c r="BQ69" s="1284">
        <f t="shared" si="1"/>
        <v>94284</v>
      </c>
      <c r="BR69" s="1284">
        <f t="shared" si="1"/>
        <v>117396</v>
      </c>
      <c r="BS69" s="1284">
        <f t="shared" si="1"/>
        <v>77293</v>
      </c>
      <c r="BT69" s="1284">
        <f t="shared" si="1"/>
        <v>68580</v>
      </c>
      <c r="BU69" s="1284">
        <f t="shared" si="1"/>
        <v>114416</v>
      </c>
      <c r="BV69" s="1285">
        <f t="shared" si="1"/>
        <v>67072</v>
      </c>
      <c r="BW69" s="1286">
        <f t="shared" si="1"/>
        <v>1158</v>
      </c>
      <c r="BX69" s="1284">
        <f t="shared" si="1"/>
        <v>19108</v>
      </c>
      <c r="BY69" s="1284">
        <f t="shared" si="1"/>
        <v>15515</v>
      </c>
      <c r="BZ69" s="1284">
        <f t="shared" si="1"/>
        <v>463</v>
      </c>
      <c r="CA69" s="1288">
        <f>SUM(CA7:CA68)</f>
        <v>528</v>
      </c>
      <c r="CB69" s="1289">
        <f t="shared" si="1"/>
        <v>1045</v>
      </c>
      <c r="CC69" s="787"/>
      <c r="CD69" s="1286">
        <f t="shared" ref="CD69:CX69" si="2">SUM(CD7:CD68)</f>
        <v>1628</v>
      </c>
      <c r="CE69" s="1284">
        <f t="shared" si="2"/>
        <v>46</v>
      </c>
      <c r="CF69" s="1284">
        <f t="shared" si="2"/>
        <v>326425</v>
      </c>
      <c r="CG69" s="1290">
        <f t="shared" si="2"/>
        <v>16729</v>
      </c>
      <c r="CH69" s="1291">
        <f t="shared" si="2"/>
        <v>92382.59747154759</v>
      </c>
      <c r="CI69" s="1284">
        <f t="shared" si="2"/>
        <v>19553</v>
      </c>
      <c r="CJ69" s="1285">
        <f t="shared" si="2"/>
        <v>12044</v>
      </c>
      <c r="CK69" s="1286">
        <f t="shared" si="2"/>
        <v>71148</v>
      </c>
      <c r="CL69" s="1292">
        <f t="shared" si="2"/>
        <v>19982.273969011258</v>
      </c>
      <c r="CM69" s="1284">
        <f t="shared" si="2"/>
        <v>19532</v>
      </c>
      <c r="CN69" s="1292">
        <f t="shared" si="2"/>
        <v>5395.3346539837112</v>
      </c>
      <c r="CO69" s="1290">
        <f t="shared" ref="CO69:CP69" si="3">SUM(CO7:CO68)</f>
        <v>60217</v>
      </c>
      <c r="CP69" s="1109">
        <f t="shared" si="3"/>
        <v>16620.19101069251</v>
      </c>
      <c r="CQ69" s="544"/>
      <c r="CR69" s="1289">
        <f t="shared" si="2"/>
        <v>26149</v>
      </c>
      <c r="CS69" s="1289">
        <f t="shared" ref="CS69:CU69" si="4">SUM(CS7:CS68)</f>
        <v>216388</v>
      </c>
      <c r="CT69" s="1289">
        <f t="shared" si="2"/>
        <v>8407</v>
      </c>
      <c r="CU69" s="1289">
        <f t="shared" si="4"/>
        <v>102720</v>
      </c>
      <c r="CV69" s="1289">
        <f t="shared" si="2"/>
        <v>841965</v>
      </c>
      <c r="CW69" s="1289">
        <f t="shared" si="2"/>
        <v>213961</v>
      </c>
      <c r="CX69" s="1289">
        <f t="shared" si="2"/>
        <v>259563</v>
      </c>
    </row>
    <row r="70" spans="1:102" ht="15.75" customHeight="1">
      <c r="A70" s="1293" t="s">
        <v>245</v>
      </c>
      <c r="B70" s="1294">
        <f>AVERAGE(B7:B68)</f>
        <v>6431.2096774193551</v>
      </c>
      <c r="C70" s="1295">
        <f>AVERAGE(C7:C68)</f>
        <v>17.913313443328494</v>
      </c>
      <c r="D70" s="1296">
        <f>AVERAGE(D7:D68)</f>
        <v>5252.4193548387093</v>
      </c>
      <c r="E70" s="1297"/>
      <c r="F70" s="1298">
        <f t="shared" ref="F70:Z70" si="5">AVERAGE(F7:F68)</f>
        <v>1.95</v>
      </c>
      <c r="G70" s="883">
        <f t="shared" si="5"/>
        <v>152.23333333333332</v>
      </c>
      <c r="H70" s="883">
        <f t="shared" si="5"/>
        <v>19.967741935483872</v>
      </c>
      <c r="I70" s="883">
        <f t="shared" si="5"/>
        <v>1455.0645161290322</v>
      </c>
      <c r="J70" s="883">
        <f t="shared" si="5"/>
        <v>9.3333333333333339</v>
      </c>
      <c r="K70" s="883">
        <f t="shared" si="5"/>
        <v>260.46666666666664</v>
      </c>
      <c r="L70" s="883">
        <f t="shared" si="5"/>
        <v>1.65625</v>
      </c>
      <c r="M70" s="883">
        <f t="shared" si="5"/>
        <v>88.21875</v>
      </c>
      <c r="N70" s="883">
        <f t="shared" si="5"/>
        <v>81.741935483870961</v>
      </c>
      <c r="O70" s="1299">
        <f t="shared" si="5"/>
        <v>2894.0483870967741</v>
      </c>
      <c r="P70" s="1298">
        <f t="shared" si="5"/>
        <v>1200.6935483870968</v>
      </c>
      <c r="Q70" s="883">
        <f t="shared" si="5"/>
        <v>6.721311475409836</v>
      </c>
      <c r="R70" s="883">
        <f t="shared" si="5"/>
        <v>285.24590163934425</v>
      </c>
      <c r="S70" s="883">
        <f t="shared" si="5"/>
        <v>4.6140350877192979</v>
      </c>
      <c r="T70" s="883">
        <f t="shared" si="5"/>
        <v>10.64516129032258</v>
      </c>
      <c r="U70" s="883">
        <f t="shared" si="5"/>
        <v>943.12903225806451</v>
      </c>
      <c r="V70" s="883">
        <f t="shared" si="5"/>
        <v>3.0816326530612246</v>
      </c>
      <c r="W70" s="883">
        <f t="shared" si="5"/>
        <v>172.24489795918367</v>
      </c>
      <c r="X70" s="883">
        <f t="shared" si="5"/>
        <v>1.76</v>
      </c>
      <c r="Y70" s="883">
        <f t="shared" si="5"/>
        <v>54.72</v>
      </c>
      <c r="Z70" s="1299">
        <f t="shared" si="5"/>
        <v>9.545454545454545</v>
      </c>
      <c r="AA70" s="542"/>
      <c r="AB70" s="886">
        <f>AVERAGE(AB7:AB68)</f>
        <v>101844.41935483871</v>
      </c>
      <c r="AC70" s="883">
        <f>AVERAGE(AC7:AC68)</f>
        <v>20585.5</v>
      </c>
      <c r="AD70" s="883">
        <f>AVERAGE(AD7:AD68)</f>
        <v>30079214241.548386</v>
      </c>
      <c r="AE70" s="1300">
        <f>AVERAGE(AE7:AE68)</f>
        <v>98.224677419354833</v>
      </c>
      <c r="AF70" s="1299">
        <f>AVERAGE(AF7:AF68)</f>
        <v>15.016129032258064</v>
      </c>
      <c r="AG70" s="544"/>
      <c r="AH70" s="1298">
        <f t="shared" ref="AH70:AO70" si="6">AVERAGE(AH7:AH68)</f>
        <v>67247.241935483864</v>
      </c>
      <c r="AI70" s="1300">
        <f t="shared" si="6"/>
        <v>18.60252796066947</v>
      </c>
      <c r="AJ70" s="883">
        <f t="shared" si="6"/>
        <v>45712.629032258068</v>
      </c>
      <c r="AK70" s="1300">
        <f t="shared" si="6"/>
        <v>26.320361066631776</v>
      </c>
      <c r="AL70" s="883">
        <f t="shared" si="6"/>
        <v>422384.74189675215</v>
      </c>
      <c r="AM70" s="1300">
        <f t="shared" si="6"/>
        <v>93.773746894929559</v>
      </c>
      <c r="AN70" s="1300">
        <f t="shared" si="6"/>
        <v>35.732258064516117</v>
      </c>
      <c r="AO70" s="887">
        <f t="shared" si="6"/>
        <v>24.154838709677421</v>
      </c>
      <c r="AP70" s="1301"/>
      <c r="AQ70" s="1302">
        <f t="shared" ref="AQ70:CB70" si="7">AVERAGE(AQ7:AQ68)</f>
        <v>1710.1129032258063</v>
      </c>
      <c r="AR70" s="1303">
        <f t="shared" si="7"/>
        <v>21.067411077590457</v>
      </c>
      <c r="AS70" s="1303">
        <f t="shared" si="7"/>
        <v>4777</v>
      </c>
      <c r="AT70" s="1303">
        <f t="shared" si="7"/>
        <v>57.821835934720909</v>
      </c>
      <c r="AU70" s="1303">
        <f t="shared" si="7"/>
        <v>3334.1935483870966</v>
      </c>
      <c r="AV70" s="1303">
        <f t="shared" si="7"/>
        <v>44.460801383747643</v>
      </c>
      <c r="AW70" s="1303">
        <f>AVERAGE(AW7:AW68)</f>
        <v>921.01612903225805</v>
      </c>
      <c r="AX70" s="1303">
        <f t="shared" si="7"/>
        <v>10.58482784890006</v>
      </c>
      <c r="AY70" s="1303">
        <f t="shared" si="7"/>
        <v>17.267857142857142</v>
      </c>
      <c r="AZ70" s="1303">
        <f t="shared" si="7"/>
        <v>1214.1964285714287</v>
      </c>
      <c r="BA70" s="1303">
        <f t="shared" si="7"/>
        <v>626.85714285714289</v>
      </c>
      <c r="BB70" s="1303">
        <f t="shared" si="7"/>
        <v>963.23214285714289</v>
      </c>
      <c r="BC70" s="1304">
        <f t="shared" si="7"/>
        <v>489.32142857142856</v>
      </c>
      <c r="BD70" s="1305">
        <f t="shared" si="7"/>
        <v>36.967741935483872</v>
      </c>
      <c r="BE70" s="1303">
        <f t="shared" si="7"/>
        <v>1878.2903225806451</v>
      </c>
      <c r="BF70" s="1303">
        <f t="shared" si="7"/>
        <v>1470.5645161290322</v>
      </c>
      <c r="BG70" s="1303">
        <f t="shared" si="7"/>
        <v>1842.0645161290322</v>
      </c>
      <c r="BH70" s="1303">
        <f t="shared" si="7"/>
        <v>1312.3709677419354</v>
      </c>
      <c r="BI70" s="1303">
        <f t="shared" si="7"/>
        <v>6.5384615384615383</v>
      </c>
      <c r="BJ70" s="1303">
        <f t="shared" si="7"/>
        <v>290.92307692307691</v>
      </c>
      <c r="BK70" s="1303">
        <f t="shared" si="7"/>
        <v>426.26923076923077</v>
      </c>
      <c r="BL70" s="1306">
        <f t="shared" si="7"/>
        <v>178.19230769230768</v>
      </c>
      <c r="BM70" s="1306">
        <f t="shared" si="7"/>
        <v>169.34615384615384</v>
      </c>
      <c r="BN70" s="1306">
        <f t="shared" si="7"/>
        <v>366.19230769230768</v>
      </c>
      <c r="BO70" s="1304">
        <f t="shared" si="7"/>
        <v>138.53846153846155</v>
      </c>
      <c r="BP70" s="1302">
        <f t="shared" si="7"/>
        <v>32.532258064516128</v>
      </c>
      <c r="BQ70" s="1306">
        <f t="shared" si="7"/>
        <v>1520.7096774193549</v>
      </c>
      <c r="BR70" s="1306">
        <f t="shared" si="7"/>
        <v>1893.483870967742</v>
      </c>
      <c r="BS70" s="1306">
        <f t="shared" si="7"/>
        <v>1246.6612903225807</v>
      </c>
      <c r="BT70" s="1306">
        <f t="shared" si="7"/>
        <v>1124.2622950819673</v>
      </c>
      <c r="BU70" s="1306">
        <f t="shared" si="7"/>
        <v>1845.4193548387098</v>
      </c>
      <c r="BV70" s="1304">
        <f t="shared" si="7"/>
        <v>1081.8064516129032</v>
      </c>
      <c r="BW70" s="1305">
        <f t="shared" si="7"/>
        <v>22.26923076923077</v>
      </c>
      <c r="BX70" s="1303">
        <f t="shared" si="7"/>
        <v>367.46153846153845</v>
      </c>
      <c r="BY70" s="1303">
        <f t="shared" si="7"/>
        <v>298.36538461538464</v>
      </c>
      <c r="BZ70" s="1303">
        <f t="shared" si="7"/>
        <v>7.467741935483871</v>
      </c>
      <c r="CA70" s="1307">
        <f>AVERAGE(CA7:CA68)</f>
        <v>10.153846153846153</v>
      </c>
      <c r="CB70" s="1308">
        <f t="shared" si="7"/>
        <v>16.85483870967742</v>
      </c>
      <c r="CC70" s="787"/>
      <c r="CD70" s="1305">
        <f>AVERAGE(CD7:CD68)</f>
        <v>26.258064516129032</v>
      </c>
      <c r="CE70" s="1303">
        <f t="shared" ref="CE70:CL70" si="8">AVERAGE(CE7:CE68)</f>
        <v>1.2105263157894737</v>
      </c>
      <c r="CF70" s="1303">
        <f t="shared" si="8"/>
        <v>5264.9193548387093</v>
      </c>
      <c r="CG70" s="1309">
        <f t="shared" si="8"/>
        <v>428.94871794871796</v>
      </c>
      <c r="CH70" s="1310">
        <f t="shared" si="8"/>
        <v>1490.0418947023804</v>
      </c>
      <c r="CI70" s="1303">
        <f t="shared" si="8"/>
        <v>315.37096774193549</v>
      </c>
      <c r="CJ70" s="1304">
        <f t="shared" si="8"/>
        <v>194.25806451612902</v>
      </c>
      <c r="CK70" s="1305">
        <f t="shared" si="8"/>
        <v>1147.5483870967741</v>
      </c>
      <c r="CL70" s="1311">
        <f t="shared" si="8"/>
        <v>322.29474143566546</v>
      </c>
      <c r="CM70" s="1303">
        <f>AVERAGE(CM7:CM68)</f>
        <v>315.03225806451616</v>
      </c>
      <c r="CN70" s="1311">
        <f>AVERAGE(CN7:CN68)</f>
        <v>87.021526677156629</v>
      </c>
      <c r="CO70" s="1309">
        <f>AVERAGE(CO7:CO68)</f>
        <v>971.24193548387098</v>
      </c>
      <c r="CP70" s="1312">
        <f>AVERAGE(CP7:CP68)</f>
        <v>268.0675969466534</v>
      </c>
      <c r="CQ70" s="544"/>
      <c r="CR70" s="1308">
        <f t="shared" ref="CR70:CX70" si="9">AVERAGE(CR7:CR68)</f>
        <v>421.75806451612902</v>
      </c>
      <c r="CS70" s="1308">
        <f t="shared" si="9"/>
        <v>3490.1290322580644</v>
      </c>
      <c r="CT70" s="1308">
        <f t="shared" si="9"/>
        <v>135.59677419354838</v>
      </c>
      <c r="CU70" s="1308">
        <f t="shared" si="9"/>
        <v>1656.7741935483871</v>
      </c>
      <c r="CV70" s="1308">
        <f t="shared" si="9"/>
        <v>13580.08064516129</v>
      </c>
      <c r="CW70" s="1308">
        <f t="shared" si="9"/>
        <v>3450.983870967742</v>
      </c>
      <c r="CX70" s="1308">
        <f t="shared" si="9"/>
        <v>4186.5</v>
      </c>
    </row>
    <row r="71" spans="1:102" s="836" customFormat="1" ht="13.2" customHeight="1">
      <c r="A71" s="836" t="s">
        <v>246</v>
      </c>
      <c r="B71" s="1936" t="s">
        <v>361</v>
      </c>
      <c r="C71" s="1936"/>
      <c r="D71" s="1936"/>
      <c r="E71" s="1936"/>
      <c r="F71" s="1936"/>
      <c r="G71" s="1936"/>
      <c r="H71" s="1936"/>
      <c r="I71" s="1936"/>
      <c r="J71" s="1936"/>
      <c r="K71" s="1936"/>
      <c r="L71" s="1936"/>
      <c r="M71" s="1936"/>
      <c r="N71" s="1936"/>
      <c r="O71" s="1936"/>
      <c r="P71" s="1313"/>
      <c r="Q71" s="1314"/>
      <c r="R71" s="1315"/>
      <c r="S71" s="1315"/>
      <c r="T71" s="1315"/>
      <c r="U71" s="1315"/>
      <c r="V71" s="1315"/>
      <c r="W71" s="1315"/>
      <c r="X71" s="1315"/>
      <c r="Y71" s="1315"/>
      <c r="Z71" s="1315"/>
      <c r="AA71" s="1315"/>
      <c r="AB71" s="1937"/>
      <c r="AC71" s="1938"/>
      <c r="AD71" s="1938"/>
      <c r="AE71" s="1938"/>
      <c r="AF71" s="1938"/>
      <c r="AG71" s="1316"/>
      <c r="AH71" s="1317"/>
      <c r="AI71" s="1318"/>
      <c r="AJ71" s="1318"/>
      <c r="AK71" s="1318"/>
      <c r="AL71" s="1318"/>
      <c r="AM71" s="1318"/>
      <c r="AN71" s="1317"/>
      <c r="AQ71" s="1955" t="s">
        <v>362</v>
      </c>
      <c r="AR71" s="1955"/>
      <c r="AS71" s="1956"/>
      <c r="AT71" s="1956"/>
      <c r="AU71" s="1957"/>
      <c r="AV71" s="1316"/>
      <c r="AW71" s="1317"/>
      <c r="AX71" s="1316"/>
      <c r="AY71" s="1317"/>
      <c r="AZ71" s="1316"/>
      <c r="BA71" s="1316"/>
      <c r="BB71" s="1316"/>
      <c r="BC71" s="1316"/>
      <c r="BD71" s="1955"/>
      <c r="BE71" s="1956"/>
      <c r="BF71" s="1956"/>
      <c r="BG71" s="1956"/>
      <c r="BH71" s="1957"/>
      <c r="BI71" s="1318"/>
      <c r="BJ71" s="1316"/>
      <c r="BK71" s="1316"/>
      <c r="BL71" s="1316"/>
      <c r="BM71" s="1316"/>
      <c r="BN71" s="1316"/>
      <c r="BO71" s="1316"/>
      <c r="BP71" s="1955"/>
      <c r="BQ71" s="1956"/>
      <c r="BR71" s="1956"/>
      <c r="BS71" s="1956"/>
      <c r="BT71" s="1956"/>
      <c r="BU71" s="1956"/>
      <c r="BV71" s="1957"/>
      <c r="BW71" s="1317"/>
      <c r="BX71" s="1317"/>
      <c r="BY71" s="1316"/>
      <c r="BZ71" s="1321"/>
      <c r="CA71" s="1321"/>
      <c r="CB71" s="1321"/>
      <c r="CC71" s="1321"/>
      <c r="CD71" s="1317" t="s">
        <v>363</v>
      </c>
      <c r="CE71" s="1322"/>
      <c r="CF71" s="1322"/>
      <c r="CH71" s="1317"/>
      <c r="CI71" s="1320"/>
      <c r="CJ71" s="1320"/>
      <c r="CK71" s="1317"/>
      <c r="CL71" s="1323"/>
      <c r="CM71" s="1321"/>
      <c r="CN71" s="1323"/>
      <c r="CO71" s="1321"/>
      <c r="CP71" s="1323"/>
      <c r="CQ71" s="1315"/>
      <c r="CR71" s="1317"/>
      <c r="CS71" s="1317"/>
      <c r="CT71" s="1317"/>
      <c r="CU71" s="1317"/>
      <c r="CV71" s="1317"/>
      <c r="CW71" s="1317"/>
      <c r="CX71" s="1317"/>
    </row>
    <row r="72" spans="1:102" s="836" customFormat="1" ht="13.2" hidden="1" customHeight="1">
      <c r="B72" s="1936"/>
      <c r="C72" s="1936"/>
      <c r="D72" s="1936"/>
      <c r="E72" s="1936"/>
      <c r="F72" s="1936"/>
      <c r="G72" s="1936"/>
      <c r="H72" s="1936"/>
      <c r="I72" s="1936"/>
      <c r="J72" s="1936"/>
      <c r="K72" s="1936"/>
      <c r="L72" s="1936"/>
      <c r="M72" s="1936"/>
      <c r="N72" s="1936"/>
      <c r="O72" s="1936"/>
      <c r="P72" s="1313"/>
      <c r="Q72" s="1317"/>
      <c r="R72" s="1320"/>
      <c r="AB72" s="1938"/>
      <c r="AC72" s="1938"/>
      <c r="AD72" s="1938"/>
      <c r="AE72" s="1938"/>
      <c r="AF72" s="1938"/>
      <c r="AG72" s="1316"/>
      <c r="AH72" s="1317" t="s">
        <v>364</v>
      </c>
      <c r="AI72" s="1318"/>
      <c r="AJ72" s="1318"/>
      <c r="AK72" s="1318"/>
      <c r="AL72" s="1318"/>
      <c r="AM72" s="1318"/>
      <c r="AQ72" s="1317" t="s">
        <v>365</v>
      </c>
      <c r="AR72" s="1324"/>
      <c r="AS72" s="1324"/>
      <c r="AT72" s="1324"/>
      <c r="AU72" s="1324"/>
      <c r="AV72" s="1324"/>
      <c r="AW72" s="1324"/>
      <c r="AX72" s="1324"/>
      <c r="AY72" s="1324"/>
      <c r="AZ72" s="1324"/>
      <c r="BA72" s="1324"/>
      <c r="BB72" s="1324"/>
      <c r="BC72" s="1324"/>
      <c r="BD72" s="1324"/>
      <c r="BE72" s="1324"/>
      <c r="BF72" s="1324"/>
      <c r="BG72" s="1324"/>
      <c r="BH72" s="1324"/>
      <c r="BI72" s="1324"/>
      <c r="BJ72" s="1324"/>
      <c r="BK72" s="1324"/>
      <c r="BL72" s="1324"/>
      <c r="BM72" s="1324"/>
      <c r="BN72" s="1324"/>
      <c r="BO72" s="1324"/>
      <c r="BP72" s="1324"/>
      <c r="BQ72" s="1324"/>
      <c r="BR72" s="1324"/>
      <c r="BS72" s="1324"/>
      <c r="BT72" s="1324"/>
      <c r="BU72" s="1324"/>
      <c r="BV72" s="1324"/>
      <c r="BW72" s="1324" t="s">
        <v>366</v>
      </c>
      <c r="BX72" s="1324"/>
      <c r="BY72" s="1324"/>
      <c r="BZ72" s="1325"/>
      <c r="CA72" s="1325"/>
      <c r="CB72" s="1325"/>
      <c r="CC72" s="1325"/>
      <c r="CD72" s="1317" t="s">
        <v>367</v>
      </c>
      <c r="CE72" s="1326"/>
      <c r="CF72" s="1326"/>
      <c r="CG72" s="1327"/>
      <c r="CH72" s="1317"/>
      <c r="CI72" s="1325"/>
      <c r="CK72" s="1317"/>
      <c r="CL72" s="1317"/>
      <c r="CR72" s="1317" t="s">
        <v>368</v>
      </c>
      <c r="CS72" s="1317"/>
      <c r="CT72" s="1317"/>
      <c r="CU72" s="1317"/>
      <c r="CV72" s="1317"/>
      <c r="CW72" s="1317"/>
      <c r="CX72" s="1317"/>
    </row>
    <row r="73" spans="1:102" s="836" customFormat="1" ht="13.95" hidden="1" customHeight="1">
      <c r="B73" s="1328"/>
      <c r="F73" s="1329"/>
      <c r="L73" s="1320"/>
      <c r="M73" s="1320"/>
      <c r="N73" s="1329"/>
      <c r="O73" s="1313"/>
      <c r="P73" s="1313"/>
      <c r="R73" s="1320"/>
      <c r="AB73" s="1938"/>
      <c r="AC73" s="1938"/>
      <c r="AD73" s="1938"/>
      <c r="AE73" s="1938"/>
      <c r="AF73" s="1938"/>
      <c r="AG73" s="1316"/>
      <c r="AH73" s="1317" t="s">
        <v>369</v>
      </c>
      <c r="AI73" s="1318"/>
      <c r="AJ73" s="1318"/>
      <c r="AK73" s="1318"/>
      <c r="AL73" s="1318"/>
      <c r="AM73" s="1318"/>
      <c r="AQ73" s="1324" t="s">
        <v>370</v>
      </c>
      <c r="AR73" s="1324"/>
      <c r="AS73" s="1324"/>
      <c r="AT73" s="1324"/>
      <c r="AU73" s="1324"/>
      <c r="AV73" s="1324"/>
      <c r="AW73" s="1324"/>
      <c r="AX73" s="1324"/>
      <c r="AY73" s="1324"/>
      <c r="AZ73" s="1324"/>
      <c r="BA73" s="1324"/>
      <c r="BB73" s="1324"/>
      <c r="BC73" s="1324"/>
      <c r="BD73" s="1324"/>
      <c r="BE73" s="1324"/>
      <c r="BF73" s="1324"/>
      <c r="BG73" s="1324"/>
      <c r="BH73" s="1324"/>
      <c r="BI73" s="1324"/>
      <c r="BJ73" s="1324"/>
      <c r="BK73" s="1324"/>
      <c r="BL73" s="1324"/>
      <c r="BM73" s="1324"/>
      <c r="BN73" s="1324"/>
      <c r="BO73" s="1324"/>
      <c r="BP73" s="1324"/>
      <c r="BQ73" s="1324"/>
      <c r="BR73" s="1324"/>
      <c r="BS73" s="1324"/>
      <c r="BT73" s="1324"/>
      <c r="BU73" s="1324"/>
      <c r="BV73" s="1324"/>
      <c r="BW73" s="1317" t="s">
        <v>371</v>
      </c>
      <c r="BX73" s="1324"/>
      <c r="BY73" s="1324"/>
      <c r="BZ73" s="1325"/>
      <c r="CA73" s="1325"/>
      <c r="CB73" s="1325"/>
      <c r="CC73" s="1325"/>
      <c r="CD73" s="1317" t="s">
        <v>372</v>
      </c>
      <c r="CF73" s="1330"/>
      <c r="CH73" s="1318"/>
      <c r="CJ73" s="1331"/>
      <c r="CL73" s="1331"/>
      <c r="CM73" s="1331"/>
      <c r="CN73" s="1331"/>
      <c r="CO73" s="1331"/>
      <c r="CP73" s="1331"/>
      <c r="CR73" s="1317" t="s">
        <v>373</v>
      </c>
      <c r="CS73" s="1317"/>
      <c r="CT73" s="1317"/>
      <c r="CU73" s="1317"/>
      <c r="CV73" s="1317"/>
      <c r="CW73" s="1317"/>
      <c r="CX73" s="1317"/>
    </row>
    <row r="74" spans="1:102" s="836" customFormat="1" ht="13.2" hidden="1" customHeight="1">
      <c r="B74" s="1317"/>
      <c r="F74" s="1329"/>
      <c r="L74" s="1320"/>
      <c r="M74" s="1320"/>
      <c r="N74" s="1329"/>
      <c r="O74" s="1313"/>
      <c r="P74" s="1313"/>
      <c r="Q74" s="1320"/>
      <c r="R74" s="1320"/>
      <c r="AB74" s="1938"/>
      <c r="AC74" s="1938"/>
      <c r="AD74" s="1938"/>
      <c r="AE74" s="1938"/>
      <c r="AF74" s="1938"/>
      <c r="AG74" s="1316"/>
      <c r="AH74" s="1319"/>
      <c r="AI74" s="1319"/>
      <c r="AJ74" s="1319"/>
      <c r="AK74" s="1319"/>
      <c r="AL74" s="1319"/>
      <c r="AM74" s="1319"/>
      <c r="AQ74" s="1324" t="s">
        <v>374</v>
      </c>
      <c r="AR74" s="1324"/>
      <c r="AS74" s="1324"/>
      <c r="AT74" s="1324"/>
      <c r="AU74" s="1332"/>
      <c r="AV74" s="1324"/>
      <c r="AW74" s="1324"/>
      <c r="AX74" s="1324"/>
      <c r="AY74" s="1324"/>
      <c r="AZ74" s="1324"/>
      <c r="BA74" s="1324"/>
      <c r="BB74" s="1324"/>
      <c r="BC74" s="1332"/>
      <c r="BD74" s="1324"/>
      <c r="BE74" s="1324"/>
      <c r="BF74" s="1324"/>
      <c r="BG74" s="1324"/>
      <c r="BH74" s="1332"/>
      <c r="BI74" s="1324"/>
      <c r="BJ74" s="1324"/>
      <c r="BK74" s="1324"/>
      <c r="BL74" s="1324"/>
      <c r="BM74" s="1324"/>
      <c r="BN74" s="1324"/>
      <c r="BO74" s="1332"/>
      <c r="BP74" s="1324"/>
      <c r="BQ74" s="1324"/>
      <c r="BR74" s="1324"/>
      <c r="BS74" s="1324"/>
      <c r="BT74" s="1324"/>
      <c r="BU74" s="1324"/>
      <c r="BV74" s="1332"/>
      <c r="BW74" s="1324"/>
      <c r="BX74" s="1324"/>
      <c r="BY74" s="1324"/>
      <c r="BZ74" s="1325"/>
      <c r="CA74" s="1325"/>
      <c r="CB74" s="1325"/>
      <c r="CC74" s="1325"/>
      <c r="CD74" s="1333"/>
      <c r="CE74" s="1325"/>
      <c r="CF74" s="1325"/>
      <c r="CG74" s="1325"/>
      <c r="CH74" s="1325"/>
      <c r="CI74" s="1325"/>
      <c r="CJ74" s="1331"/>
      <c r="CK74" s="1331"/>
      <c r="CL74" s="1331"/>
      <c r="CM74" s="1331"/>
      <c r="CN74" s="1331"/>
      <c r="CO74" s="1331"/>
      <c r="CP74" s="1331"/>
      <c r="CR74" s="1317" t="s">
        <v>375</v>
      </c>
      <c r="CS74" s="1317"/>
      <c r="CT74" s="1317"/>
      <c r="CU74" s="1317"/>
      <c r="CV74" s="1317"/>
      <c r="CW74" s="1317"/>
      <c r="CX74" s="1317"/>
    </row>
    <row r="75" spans="1:102" s="836" customFormat="1" ht="10.8" hidden="1">
      <c r="F75" s="1329"/>
      <c r="N75" s="1317"/>
      <c r="P75" s="1313"/>
      <c r="AB75" s="1316"/>
      <c r="AC75" s="1316"/>
      <c r="AD75" s="1316"/>
      <c r="AE75" s="1316"/>
      <c r="AF75" s="1316"/>
      <c r="AG75" s="1316"/>
      <c r="AI75" s="1332"/>
      <c r="AJ75" s="1332"/>
      <c r="AK75" s="1332"/>
      <c r="AL75" s="1332"/>
      <c r="AM75" s="1332"/>
      <c r="AQ75" s="1324" t="s">
        <v>376</v>
      </c>
      <c r="CF75" s="1330"/>
      <c r="CH75" s="1334"/>
      <c r="CR75" s="1317"/>
      <c r="CS75" s="1317"/>
      <c r="CT75" s="1317"/>
      <c r="CU75" s="1317"/>
      <c r="CV75" s="1317"/>
      <c r="CW75" s="1317"/>
      <c r="CX75" s="1317"/>
    </row>
    <row r="76" spans="1:102" s="836" customFormat="1" ht="10.8" hidden="1">
      <c r="F76" s="1317"/>
      <c r="N76" s="1317"/>
      <c r="P76" s="1313"/>
      <c r="AH76" s="1332"/>
      <c r="AI76" s="1332"/>
      <c r="AJ76" s="1332"/>
      <c r="AK76" s="1332"/>
      <c r="AL76" s="1332"/>
      <c r="AM76" s="1332"/>
      <c r="AN76" s="1316"/>
      <c r="AQ76" s="1317"/>
      <c r="CF76" s="1330"/>
      <c r="CH76" s="1334"/>
      <c r="CK76" s="1316"/>
      <c r="CL76" s="1316"/>
      <c r="CM76" s="1316"/>
      <c r="CN76" s="1316"/>
      <c r="CO76" s="1316"/>
      <c r="CP76" s="1316"/>
      <c r="CR76" s="1317"/>
      <c r="CS76" s="1317"/>
      <c r="CT76" s="1317"/>
      <c r="CU76" s="1317"/>
      <c r="CV76" s="1317"/>
      <c r="CW76" s="1317"/>
      <c r="CX76" s="1317"/>
    </row>
    <row r="77" spans="1:102" s="836" customFormat="1" ht="10.8" hidden="1">
      <c r="B77" s="1316"/>
      <c r="F77" s="1317"/>
      <c r="P77" s="1313"/>
      <c r="CF77" s="1330"/>
      <c r="CH77" s="1334"/>
    </row>
    <row r="78" spans="1:102" s="836" customFormat="1" ht="10.8" hidden="1">
      <c r="F78" s="1317"/>
      <c r="P78" s="1313"/>
      <c r="CF78" s="1330"/>
      <c r="CH78" s="1334"/>
    </row>
    <row r="79" spans="1:102" s="836" customFormat="1" ht="10.8" hidden="1">
      <c r="B79" s="1335"/>
      <c r="C79" s="1335"/>
      <c r="D79" s="1335"/>
      <c r="E79" s="1335"/>
      <c r="G79" s="1335"/>
      <c r="H79" s="1335"/>
      <c r="J79" s="1335"/>
      <c r="P79" s="1336"/>
      <c r="AB79" s="1335"/>
      <c r="AC79" s="1335"/>
      <c r="AD79" s="1335"/>
      <c r="AE79" s="1335"/>
      <c r="AF79" s="1335"/>
      <c r="AG79" s="1335"/>
      <c r="CF79" s="1330"/>
      <c r="CH79" s="1334"/>
    </row>
    <row r="80" spans="1:102" s="836" customFormat="1">
      <c r="B80" s="1335"/>
      <c r="C80" s="1335"/>
      <c r="D80" s="1335"/>
      <c r="E80" s="1335"/>
      <c r="F80" s="1337"/>
      <c r="G80" s="1337"/>
      <c r="H80" s="1337"/>
      <c r="I80" s="731"/>
      <c r="J80" s="1337"/>
      <c r="K80" s="731"/>
      <c r="L80" s="731"/>
      <c r="M80" s="731"/>
      <c r="N80" s="731"/>
      <c r="O80" s="731"/>
      <c r="P80" s="1336"/>
      <c r="AB80" s="1335"/>
      <c r="AC80" s="1335"/>
      <c r="AD80" s="1335"/>
      <c r="AE80" s="1335"/>
      <c r="AF80" s="1335"/>
      <c r="AG80" s="1335"/>
      <c r="CF80" s="1330"/>
      <c r="CH80" s="1334"/>
    </row>
    <row r="81" spans="2:33">
      <c r="B81" s="1337"/>
      <c r="C81" s="1337"/>
      <c r="D81" s="1337"/>
      <c r="E81" s="1337"/>
      <c r="F81" s="1337"/>
      <c r="G81" s="1337"/>
      <c r="H81" s="1337"/>
      <c r="J81" s="1337"/>
      <c r="P81" s="1336"/>
      <c r="AB81" s="1337"/>
      <c r="AC81" s="1337"/>
      <c r="AD81" s="1337"/>
      <c r="AE81" s="1337"/>
      <c r="AF81" s="1337"/>
      <c r="AG81" s="1337"/>
    </row>
    <row r="82" spans="2:33">
      <c r="B82" s="1337"/>
      <c r="C82" s="1337"/>
      <c r="D82" s="1337"/>
      <c r="E82" s="1337"/>
      <c r="P82" s="1336"/>
      <c r="AB82" s="1337"/>
      <c r="AC82" s="1337"/>
      <c r="AD82" s="1337"/>
      <c r="AE82" s="1337"/>
      <c r="AF82" s="1337"/>
      <c r="AG82" s="1337"/>
    </row>
    <row r="83" spans="2:33">
      <c r="P83" s="1336"/>
    </row>
    <row r="140" spans="1:102" ht="14.4">
      <c r="F140" s="938"/>
      <c r="G140" s="938"/>
      <c r="H140" s="938"/>
      <c r="I140" s="938"/>
      <c r="J140" s="938"/>
      <c r="K140" s="938"/>
      <c r="L140" s="938"/>
      <c r="M140" s="938"/>
      <c r="N140" s="938"/>
      <c r="O140" s="938"/>
    </row>
    <row r="141" spans="1:102" ht="24.75" customHeight="1">
      <c r="A141" s="938"/>
      <c r="B141" s="938"/>
      <c r="C141" s="938"/>
      <c r="D141" s="938"/>
      <c r="E141" s="938"/>
      <c r="P141" s="938"/>
      <c r="Q141" s="1919"/>
      <c r="R141" s="1919"/>
      <c r="S141" s="1919"/>
      <c r="T141" s="1919"/>
      <c r="U141" s="1919"/>
      <c r="V141" s="1919"/>
      <c r="W141" s="1919"/>
      <c r="X141" s="1919"/>
      <c r="Y141" s="1919"/>
      <c r="Z141" s="1919"/>
      <c r="AA141" s="938"/>
      <c r="AB141" s="1919"/>
      <c r="AC141" s="1919"/>
      <c r="AD141" s="1919"/>
      <c r="AE141" s="1919"/>
      <c r="AF141" s="1919"/>
      <c r="AG141" s="938"/>
      <c r="AH141" s="1919"/>
      <c r="AI141" s="1919"/>
      <c r="AJ141" s="1919"/>
      <c r="AK141" s="1919"/>
      <c r="AL141" s="1919"/>
      <c r="AM141" s="1919"/>
      <c r="AN141" s="1919"/>
      <c r="AO141" s="1919"/>
      <c r="AP141" s="938"/>
      <c r="AQ141" s="1919"/>
      <c r="AR141" s="1919"/>
      <c r="AS141" s="1919"/>
      <c r="AT141" s="1919"/>
      <c r="AU141" s="1919"/>
      <c r="AV141" s="1919"/>
      <c r="AW141" s="1919"/>
      <c r="AX141" s="1919"/>
      <c r="AY141" s="1919"/>
      <c r="AZ141" s="1919"/>
      <c r="BA141" s="1919"/>
      <c r="BB141" s="1919"/>
      <c r="BC141" s="1919"/>
      <c r="BD141" s="1919"/>
      <c r="BE141" s="1919"/>
      <c r="BF141" s="1919"/>
      <c r="BG141" s="1919"/>
      <c r="BH141" s="1919"/>
      <c r="BI141" s="1919"/>
      <c r="BJ141" s="1919"/>
      <c r="BK141" s="1919"/>
      <c r="BL141" s="1919"/>
      <c r="BM141" s="1919"/>
      <c r="BN141" s="1919"/>
      <c r="BO141" s="1919"/>
      <c r="BP141" s="1919"/>
      <c r="BQ141" s="1919"/>
      <c r="BR141" s="1919"/>
      <c r="BS141" s="1919"/>
      <c r="BT141" s="1919"/>
      <c r="BU141" s="1919"/>
      <c r="BV141" s="1919"/>
      <c r="BW141" s="1919"/>
      <c r="BX141" s="1919"/>
      <c r="BY141" s="1919"/>
      <c r="BZ141" s="1919"/>
      <c r="CA141" s="1919"/>
      <c r="CB141" s="1919"/>
      <c r="CC141" s="938"/>
      <c r="CD141" s="1919"/>
      <c r="CE141" s="1919"/>
      <c r="CF141" s="1919"/>
      <c r="CG141" s="1919"/>
      <c r="CH141" s="1919"/>
      <c r="CI141" s="1919"/>
      <c r="CJ141" s="1919"/>
      <c r="CK141" s="1919"/>
      <c r="CL141" s="1919"/>
      <c r="CM141" s="1919"/>
      <c r="CN141" s="1919"/>
      <c r="CO141" s="1919"/>
      <c r="CP141" s="1919"/>
      <c r="CQ141" s="1919"/>
      <c r="CR141" s="1919"/>
      <c r="CS141" s="1919"/>
      <c r="CT141" s="1919"/>
      <c r="CU141" s="1919"/>
      <c r="CV141" s="1919"/>
      <c r="CW141" s="938"/>
      <c r="CX141" s="938"/>
    </row>
  </sheetData>
  <customSheetViews>
    <customSheetView guid="{CFB8F6A3-286B-44DA-98E2-E06FA9DC17D9}" scale="90" showGridLines="0">
      <pane xSplit="1" ySplit="6" topLeftCell="B46" activePane="bottomRight" state="frozen"/>
      <selection pane="bottomRight" activeCell="A7" sqref="A7:A54"/>
      <colBreaks count="9" manualBreakCount="9">
        <brk id="13" max="73" man="1"/>
        <brk id="23" max="73" man="1"/>
        <brk id="29" max="73" man="1"/>
        <brk id="38" max="73" man="1"/>
        <brk id="47" max="73" man="1"/>
        <brk id="57" max="73" man="1"/>
        <brk id="68" max="73" man="1"/>
        <brk id="79" max="73" man="1"/>
        <brk id="90" max="1048575" man="1"/>
      </colBreaks>
      <pageMargins left="0" right="0" top="0" bottom="0" header="0" footer="0"/>
      <pageSetup paperSize="9" scale="80" firstPageNumber="8" orientation="portrait" useFirstPageNumber="1" r:id="rId1"/>
      <headerFooter alignWithMargins="0"/>
    </customSheetView>
    <customSheetView guid="{429188B7-F8E8-41E0-BAA6-8F869C883D4F}" showGridLines="0">
      <pane xSplit="1" ySplit="6" topLeftCell="B7" activePane="bottomRight" state="frozen"/>
      <selection pane="bottomRight" activeCell="A2" sqref="A2"/>
      <colBreaks count="9" manualBreakCount="9">
        <brk id="15" min="1" max="75" man="1"/>
        <brk id="27" min="1" max="75" man="1"/>
        <brk id="33" min="1" max="75" man="1"/>
        <brk id="42" min="1" max="75" man="1"/>
        <brk id="50" min="1" max="75" man="1"/>
        <brk id="62" min="1" max="75" man="1"/>
        <brk id="75" min="1" max="75" man="1"/>
        <brk id="87" min="1" max="75" man="1"/>
        <brk id="93" max="1048575" man="1"/>
      </colBreaks>
      <pageMargins left="0" right="0" top="0" bottom="0" header="0" footer="0"/>
      <pageSetup paperSize="8" scale="96" firstPageNumber="8" orientation="portrait" r:id="rId2"/>
      <headerFooter alignWithMargins="0">
        <oddHeader>&amp;L&amp;"ＭＳ Ｐゴシック,太字"&amp;16 ３　保健・福祉</oddHeader>
      </headerFooter>
    </customSheetView>
  </customSheetViews>
  <mergeCells count="82">
    <mergeCell ref="CK141:CV141"/>
    <mergeCell ref="CE4:CE5"/>
    <mergeCell ref="AQ71:AU71"/>
    <mergeCell ref="CL4:CL5"/>
    <mergeCell ref="CM4:CM5"/>
    <mergeCell ref="CA3:CA5"/>
    <mergeCell ref="BI3:BO3"/>
    <mergeCell ref="CD141:CJ141"/>
    <mergeCell ref="BP71:BV71"/>
    <mergeCell ref="AQ141:CB141"/>
    <mergeCell ref="BD71:BH71"/>
    <mergeCell ref="CG4:CG5"/>
    <mergeCell ref="CJ3:CJ5"/>
    <mergeCell ref="BZ3:BZ5"/>
    <mergeCell ref="AY3:BC3"/>
    <mergeCell ref="BD3:BH3"/>
    <mergeCell ref="CX3:CX5"/>
    <mergeCell ref="CV3:CV5"/>
    <mergeCell ref="CK4:CK5"/>
    <mergeCell ref="U4:U5"/>
    <mergeCell ref="AF3:AF5"/>
    <mergeCell ref="AB3:AB5"/>
    <mergeCell ref="AO3:AO5"/>
    <mergeCell ref="AM3:AM5"/>
    <mergeCell ref="AD3:AD5"/>
    <mergeCell ref="AI4:AI5"/>
    <mergeCell ref="Z3:Z5"/>
    <mergeCell ref="AZ4:BA4"/>
    <mergeCell ref="W4:W5"/>
    <mergeCell ref="Y4:Y5"/>
    <mergeCell ref="V3:W3"/>
    <mergeCell ref="CW3:CW5"/>
    <mergeCell ref="AH141:AO141"/>
    <mergeCell ref="AN3:AN5"/>
    <mergeCell ref="AB71:AF74"/>
    <mergeCell ref="AC3:AC5"/>
    <mergeCell ref="AL3:AL5"/>
    <mergeCell ref="AK4:AK5"/>
    <mergeCell ref="Q141:Z141"/>
    <mergeCell ref="Q3:R3"/>
    <mergeCell ref="AE3:AE5"/>
    <mergeCell ref="D3:D5"/>
    <mergeCell ref="K4:K5"/>
    <mergeCell ref="X3:Y3"/>
    <mergeCell ref="R4:R5"/>
    <mergeCell ref="T3:U3"/>
    <mergeCell ref="S3:S5"/>
    <mergeCell ref="P3:P5"/>
    <mergeCell ref="O4:O5"/>
    <mergeCell ref="N3:O3"/>
    <mergeCell ref="G4:G5"/>
    <mergeCell ref="M4:M5"/>
    <mergeCell ref="AB141:AF141"/>
    <mergeCell ref="B71:O72"/>
    <mergeCell ref="BM4:BO4"/>
    <mergeCell ref="C4:C5"/>
    <mergeCell ref="F3:G3"/>
    <mergeCell ref="J3:K3"/>
    <mergeCell ref="L3:M3"/>
    <mergeCell ref="H3:I3"/>
    <mergeCell ref="I4:I5"/>
    <mergeCell ref="B3:C3"/>
    <mergeCell ref="AW3:AX4"/>
    <mergeCell ref="BB4:BC4"/>
    <mergeCell ref="BE4:BF4"/>
    <mergeCell ref="BJ4:BL4"/>
    <mergeCell ref="BG4:BH4"/>
    <mergeCell ref="BQ4:BS4"/>
    <mergeCell ref="CU3:CU5"/>
    <mergeCell ref="CS3:CS5"/>
    <mergeCell ref="BT4:BV4"/>
    <mergeCell ref="CF3:CG3"/>
    <mergeCell ref="CT3:CT5"/>
    <mergeCell ref="CR3:CR5"/>
    <mergeCell ref="CO4:CO5"/>
    <mergeCell ref="CP4:CP5"/>
    <mergeCell ref="BW3:BY3"/>
    <mergeCell ref="CI3:CI5"/>
    <mergeCell ref="CN4:CN5"/>
    <mergeCell ref="CB3:CB5"/>
    <mergeCell ref="CH3:CH5"/>
    <mergeCell ref="BP3:BV3"/>
  </mergeCells>
  <phoneticPr fontId="2"/>
  <conditionalFormatting sqref="CI42:CP42 CR42:CX42">
    <cfRule type="containsBlanks" dxfId="0" priority="1">
      <formula>LEN(TRIM(CI42))=0</formula>
    </cfRule>
  </conditionalFormatting>
  <dataValidations count="1">
    <dataValidation imeMode="disabled" allowBlank="1" showInputMessage="1" showErrorMessage="1" sqref="B7:CX14 BB15:CX15 B15:AZ15 B16:CX68" xr:uid="{00000000-0002-0000-0400-000000000000}"/>
  </dataValidations>
  <pageMargins left="0.74803149606299213" right="0.23622047244094491" top="0.86614173228346458" bottom="0.39370078740157483" header="0.59055118110236227" footer="0.31496062992125984"/>
  <pageSetup paperSize="9" scale="61" firstPageNumber="8" orientation="portrait" r:id="rId3"/>
  <headerFooter alignWithMargins="0">
    <oddHeader>&amp;L&amp;"ＭＳ Ｐゴシック,太字"&amp;16 ３　保健・福祉</oddHeader>
  </headerFooter>
  <colBreaks count="9" manualBreakCount="9">
    <brk id="15" min="1" max="79" man="1"/>
    <brk id="27" min="1" max="79" man="1"/>
    <brk id="33" min="1" max="79" man="1"/>
    <brk id="42" min="1" max="79" man="1"/>
    <brk id="55" min="1" max="79" man="1"/>
    <brk id="67" min="1" max="79" man="1"/>
    <brk id="81" min="1" max="79" man="1"/>
    <brk id="95" min="1" max="79" man="1"/>
    <brk id="103" max="1048575" man="1"/>
  </col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O150"/>
  <sheetViews>
    <sheetView showGridLines="0" view="pageBreakPreview" zoomScale="90" zoomScaleNormal="100" zoomScaleSheetLayoutView="90" workbookViewId="0">
      <pane xSplit="1" ySplit="6" topLeftCell="B7" activePane="bottomRight" state="frozen"/>
      <selection pane="topRight" activeCell="J20" sqref="J19:J20"/>
      <selection pane="bottomLeft" activeCell="J20" sqref="J19:J20"/>
      <selection pane="bottomRight" activeCell="H48" sqref="H48"/>
    </sheetView>
  </sheetViews>
  <sheetFormatPr defaultColWidth="8.88671875" defaultRowHeight="13.2"/>
  <cols>
    <col min="1" max="1" width="12.6640625" customWidth="1"/>
    <col min="2" max="2" width="9.88671875" customWidth="1"/>
    <col min="3" max="4" width="8.33203125" customWidth="1"/>
    <col min="5" max="5" width="8.44140625" customWidth="1"/>
    <col min="6" max="6" width="9.88671875" bestFit="1" customWidth="1"/>
    <col min="7" max="7" width="8.77734375" customWidth="1"/>
    <col min="8" max="8" width="10" customWidth="1"/>
    <col min="9" max="13" width="8.77734375" customWidth="1"/>
    <col min="14" max="14" width="7.44140625" customWidth="1"/>
  </cols>
  <sheetData>
    <row r="1" spans="1:14" ht="18.75" customHeight="1">
      <c r="A1" s="1" t="s">
        <v>377</v>
      </c>
    </row>
    <row r="2" spans="1:14" ht="18.75" customHeight="1">
      <c r="A2" s="63"/>
      <c r="B2" s="331"/>
    </row>
    <row r="3" spans="1:14" ht="17.25" customHeight="1">
      <c r="A3" s="850" t="s">
        <v>90</v>
      </c>
      <c r="B3" s="1857" t="s">
        <v>378</v>
      </c>
      <c r="C3" s="1964" t="s">
        <v>379</v>
      </c>
      <c r="D3" s="1964" t="s">
        <v>380</v>
      </c>
      <c r="E3" s="1843" t="s">
        <v>381</v>
      </c>
      <c r="F3" s="1877"/>
      <c r="G3" s="1877"/>
      <c r="H3" s="1877"/>
      <c r="I3" s="1877"/>
      <c r="J3" s="1877"/>
      <c r="K3" s="1966"/>
      <c r="L3" s="1877"/>
      <c r="M3" s="1878"/>
      <c r="N3" s="1922" t="s">
        <v>382</v>
      </c>
    </row>
    <row r="4" spans="1:14" ht="17.25" customHeight="1">
      <c r="A4" s="852"/>
      <c r="B4" s="1963"/>
      <c r="C4" s="1965"/>
      <c r="D4" s="1965"/>
      <c r="E4" s="1942" t="s">
        <v>383</v>
      </c>
      <c r="F4" s="1133" t="s">
        <v>384</v>
      </c>
      <c r="G4" s="1338"/>
      <c r="H4" s="1338"/>
      <c r="I4" s="1338"/>
      <c r="J4" s="1338"/>
      <c r="K4" s="1338"/>
      <c r="L4" s="1339"/>
      <c r="M4" s="1967" t="s">
        <v>385</v>
      </c>
      <c r="N4" s="1948"/>
    </row>
    <row r="5" spans="1:14" ht="17.25" customHeight="1">
      <c r="A5" s="765"/>
      <c r="B5" s="1963"/>
      <c r="C5" s="1965"/>
      <c r="D5" s="1965"/>
      <c r="E5" s="1943"/>
      <c r="F5" s="1514"/>
      <c r="G5" s="1133" t="s">
        <v>386</v>
      </c>
      <c r="H5" s="1133" t="s">
        <v>387</v>
      </c>
      <c r="I5" s="1133" t="s">
        <v>388</v>
      </c>
      <c r="J5" s="1187" t="s">
        <v>389</v>
      </c>
      <c r="K5" s="1187" t="s">
        <v>390</v>
      </c>
      <c r="L5" s="1187" t="s">
        <v>391</v>
      </c>
      <c r="M5" s="1968"/>
      <c r="N5" s="1895"/>
    </row>
    <row r="6" spans="1:14" ht="17.25" customHeight="1">
      <c r="A6" s="853" t="s">
        <v>134</v>
      </c>
      <c r="B6" s="857" t="s">
        <v>392</v>
      </c>
      <c r="C6" s="493" t="s">
        <v>393</v>
      </c>
      <c r="D6" s="493" t="s">
        <v>393</v>
      </c>
      <c r="E6" s="493" t="s">
        <v>392</v>
      </c>
      <c r="F6" s="493" t="s">
        <v>392</v>
      </c>
      <c r="G6" s="493" t="s">
        <v>392</v>
      </c>
      <c r="H6" s="493" t="s">
        <v>392</v>
      </c>
      <c r="I6" s="493" t="s">
        <v>392</v>
      </c>
      <c r="J6" s="493" t="s">
        <v>392</v>
      </c>
      <c r="K6" s="493" t="s">
        <v>392</v>
      </c>
      <c r="L6" s="493" t="s">
        <v>392</v>
      </c>
      <c r="M6" s="493" t="s">
        <v>392</v>
      </c>
      <c r="N6" s="855" t="s">
        <v>137</v>
      </c>
    </row>
    <row r="7" spans="1:14" ht="15.75" customHeight="1">
      <c r="A7" s="766" t="s">
        <v>147</v>
      </c>
      <c r="B7" s="1340">
        <v>101807</v>
      </c>
      <c r="C7" s="1604">
        <v>1121</v>
      </c>
      <c r="D7" s="1604">
        <v>740</v>
      </c>
      <c r="E7" s="1604">
        <v>13854</v>
      </c>
      <c r="F7" s="1604">
        <v>81488</v>
      </c>
      <c r="G7" s="1604" t="s">
        <v>148</v>
      </c>
      <c r="H7" s="1604">
        <v>68719</v>
      </c>
      <c r="I7" s="1604">
        <v>4118</v>
      </c>
      <c r="J7" s="1604">
        <v>7864</v>
      </c>
      <c r="K7" s="1604">
        <v>118</v>
      </c>
      <c r="L7" s="1341">
        <v>669</v>
      </c>
      <c r="M7" s="1342">
        <v>6465</v>
      </c>
      <c r="N7" s="1605">
        <v>15</v>
      </c>
    </row>
    <row r="8" spans="1:14" ht="15.75" customHeight="1">
      <c r="A8" s="779" t="s">
        <v>149</v>
      </c>
      <c r="B8" s="1343">
        <v>113889</v>
      </c>
      <c r="C8" s="1606">
        <v>950</v>
      </c>
      <c r="D8" s="1606">
        <v>443</v>
      </c>
      <c r="E8" s="1606">
        <v>3923</v>
      </c>
      <c r="F8" s="1606">
        <v>101956</v>
      </c>
      <c r="G8" s="1607" t="s">
        <v>153</v>
      </c>
      <c r="H8" s="1606">
        <v>71700</v>
      </c>
      <c r="I8" s="1606">
        <v>11252</v>
      </c>
      <c r="J8" s="1606">
        <v>17813</v>
      </c>
      <c r="K8" s="1606">
        <v>5</v>
      </c>
      <c r="L8" s="1606">
        <v>1186</v>
      </c>
      <c r="M8" s="1608">
        <v>8010</v>
      </c>
      <c r="N8" s="1609">
        <v>21.1</v>
      </c>
    </row>
    <row r="9" spans="1:14" ht="15.75" customHeight="1">
      <c r="A9" s="766" t="s">
        <v>150</v>
      </c>
      <c r="B9" s="526">
        <v>102964</v>
      </c>
      <c r="C9" s="1610">
        <v>1023</v>
      </c>
      <c r="D9" s="1610">
        <v>685</v>
      </c>
      <c r="E9" s="1610">
        <v>7969</v>
      </c>
      <c r="F9" s="1610">
        <v>90836</v>
      </c>
      <c r="G9" s="1610" t="s">
        <v>153</v>
      </c>
      <c r="H9" s="1610">
        <v>77507</v>
      </c>
      <c r="I9" s="1610">
        <v>5613</v>
      </c>
      <c r="J9" s="1610">
        <v>7185</v>
      </c>
      <c r="K9" s="1610" t="s">
        <v>153</v>
      </c>
      <c r="L9" s="1610">
        <v>531</v>
      </c>
      <c r="M9" s="1611">
        <v>4159</v>
      </c>
      <c r="N9" s="1612">
        <v>14.4</v>
      </c>
    </row>
    <row r="10" spans="1:14" ht="15.75" customHeight="1">
      <c r="A10" s="779" t="s">
        <v>152</v>
      </c>
      <c r="B10" s="527">
        <v>77110</v>
      </c>
      <c r="C10" s="1613">
        <v>953</v>
      </c>
      <c r="D10" s="1613">
        <v>543</v>
      </c>
      <c r="E10" s="1613">
        <v>6909</v>
      </c>
      <c r="F10" s="1613">
        <v>69907</v>
      </c>
      <c r="G10" s="1508" t="s">
        <v>153</v>
      </c>
      <c r="H10" s="1613">
        <v>59352</v>
      </c>
      <c r="I10" s="1613">
        <v>3241</v>
      </c>
      <c r="J10" s="1613">
        <v>6876</v>
      </c>
      <c r="K10" s="1613">
        <v>62</v>
      </c>
      <c r="L10" s="1613">
        <v>376</v>
      </c>
      <c r="M10" s="1614">
        <v>294</v>
      </c>
      <c r="N10" s="1615">
        <v>11.6</v>
      </c>
    </row>
    <row r="11" spans="1:14" ht="15.75" customHeight="1">
      <c r="A11" s="766" t="s">
        <v>154</v>
      </c>
      <c r="B11" s="1340">
        <v>100902</v>
      </c>
      <c r="C11" s="1604">
        <v>967.66954500293457</v>
      </c>
      <c r="D11" s="1604">
        <v>625.88469520452043</v>
      </c>
      <c r="E11" s="1604">
        <v>7386</v>
      </c>
      <c r="F11" s="1604">
        <v>89530</v>
      </c>
      <c r="G11" s="1604" t="s">
        <v>148</v>
      </c>
      <c r="H11" s="1604">
        <v>72808</v>
      </c>
      <c r="I11" s="1604">
        <v>4592</v>
      </c>
      <c r="J11" s="1604">
        <v>11128</v>
      </c>
      <c r="K11" s="1604" t="s">
        <v>148</v>
      </c>
      <c r="L11" s="1604">
        <v>1002</v>
      </c>
      <c r="M11" s="1616">
        <v>3986</v>
      </c>
      <c r="N11" s="1605">
        <v>15.63826314071172</v>
      </c>
    </row>
    <row r="12" spans="1:14" ht="15.75" customHeight="1">
      <c r="A12" s="779" t="s">
        <v>155</v>
      </c>
      <c r="B12" s="527">
        <v>108975</v>
      </c>
      <c r="C12" s="1613">
        <v>983</v>
      </c>
      <c r="D12" s="1613">
        <v>515</v>
      </c>
      <c r="E12" s="1613">
        <v>7494</v>
      </c>
      <c r="F12" s="1613">
        <v>98589</v>
      </c>
      <c r="G12" s="1613">
        <v>86405</v>
      </c>
      <c r="H12" s="1613" t="s">
        <v>148</v>
      </c>
      <c r="I12" s="1613" t="s">
        <v>148</v>
      </c>
      <c r="J12" s="1613">
        <v>10909</v>
      </c>
      <c r="K12" s="1613">
        <v>15</v>
      </c>
      <c r="L12" s="1613">
        <v>1260</v>
      </c>
      <c r="M12" s="1614">
        <v>2892</v>
      </c>
      <c r="N12" s="1615">
        <v>21.1</v>
      </c>
    </row>
    <row r="13" spans="1:14" ht="15.75" customHeight="1">
      <c r="A13" s="795" t="s">
        <v>156</v>
      </c>
      <c r="B13" s="526">
        <v>81152</v>
      </c>
      <c r="C13" s="1610">
        <v>922.58702259571965</v>
      </c>
      <c r="D13" s="1610">
        <v>550</v>
      </c>
      <c r="E13" s="1610">
        <v>4287</v>
      </c>
      <c r="F13" s="1610">
        <v>71429</v>
      </c>
      <c r="G13" s="1610">
        <v>0</v>
      </c>
      <c r="H13" s="1610">
        <v>59670</v>
      </c>
      <c r="I13" s="1610">
        <v>4887</v>
      </c>
      <c r="J13" s="1610">
        <v>6271</v>
      </c>
      <c r="K13" s="1610">
        <v>102</v>
      </c>
      <c r="L13" s="1610">
        <v>499</v>
      </c>
      <c r="M13" s="1611">
        <v>5436</v>
      </c>
      <c r="N13" s="1612">
        <v>18.384020110410095</v>
      </c>
    </row>
    <row r="14" spans="1:14" ht="15.75" customHeight="1">
      <c r="A14" s="779" t="s">
        <v>157</v>
      </c>
      <c r="B14" s="1344">
        <v>109032</v>
      </c>
      <c r="C14" s="1617">
        <v>1091</v>
      </c>
      <c r="D14" s="1617">
        <v>681</v>
      </c>
      <c r="E14" s="1617">
        <v>11350</v>
      </c>
      <c r="F14" s="1617">
        <v>96190</v>
      </c>
      <c r="G14" s="1617" t="s">
        <v>148</v>
      </c>
      <c r="H14" s="1617">
        <v>81112</v>
      </c>
      <c r="I14" s="1617">
        <v>4653</v>
      </c>
      <c r="J14" s="1617">
        <v>9334</v>
      </c>
      <c r="K14" s="1617" t="s">
        <v>148</v>
      </c>
      <c r="L14" s="1617">
        <v>1091</v>
      </c>
      <c r="M14" s="1618">
        <v>1492</v>
      </c>
      <c r="N14" s="1619">
        <v>10.23</v>
      </c>
    </row>
    <row r="15" spans="1:14" ht="15.75" customHeight="1">
      <c r="A15" s="795" t="s">
        <v>158</v>
      </c>
      <c r="B15" s="1340">
        <v>138272</v>
      </c>
      <c r="C15" s="1604">
        <v>1183</v>
      </c>
      <c r="D15" s="1604">
        <v>668</v>
      </c>
      <c r="E15" s="1604">
        <v>19607</v>
      </c>
      <c r="F15" s="1604">
        <v>115269</v>
      </c>
      <c r="G15" s="1620" t="s">
        <v>153</v>
      </c>
      <c r="H15" s="1604">
        <v>102263</v>
      </c>
      <c r="I15" s="1604">
        <v>3550</v>
      </c>
      <c r="J15" s="1604">
        <v>8180</v>
      </c>
      <c r="K15" s="1604" t="s">
        <v>153</v>
      </c>
      <c r="L15" s="1604">
        <v>1276</v>
      </c>
      <c r="M15" s="1616">
        <v>3396</v>
      </c>
      <c r="N15" s="1605">
        <v>9.9</v>
      </c>
    </row>
    <row r="16" spans="1:14" ht="15.75" customHeight="1">
      <c r="A16" s="779" t="s">
        <v>160</v>
      </c>
      <c r="B16" s="527">
        <v>118350</v>
      </c>
      <c r="C16" s="1621">
        <v>983</v>
      </c>
      <c r="D16" s="1621">
        <v>658</v>
      </c>
      <c r="E16" s="1617">
        <v>6989</v>
      </c>
      <c r="F16" s="1617">
        <v>105410</v>
      </c>
      <c r="G16" s="1613" t="s">
        <v>148</v>
      </c>
      <c r="H16" s="1617">
        <v>94234</v>
      </c>
      <c r="I16" s="1613">
        <v>1252</v>
      </c>
      <c r="J16" s="1613">
        <v>9222</v>
      </c>
      <c r="K16" s="1613" t="s">
        <v>148</v>
      </c>
      <c r="L16" s="1617">
        <v>702</v>
      </c>
      <c r="M16" s="1614">
        <v>5951</v>
      </c>
      <c r="N16" s="1615">
        <v>23.3</v>
      </c>
    </row>
    <row r="17" spans="1:14" ht="15.75" customHeight="1">
      <c r="A17" s="795" t="s">
        <v>162</v>
      </c>
      <c r="B17" s="526">
        <v>98640</v>
      </c>
      <c r="C17" s="1610">
        <v>996</v>
      </c>
      <c r="D17" s="1610">
        <v>672</v>
      </c>
      <c r="E17" s="1610">
        <v>5905</v>
      </c>
      <c r="F17" s="1610">
        <v>90233</v>
      </c>
      <c r="G17" s="1610">
        <v>0</v>
      </c>
      <c r="H17" s="1610">
        <v>80277</v>
      </c>
      <c r="I17" s="1610">
        <v>2315</v>
      </c>
      <c r="J17" s="1610">
        <v>7242</v>
      </c>
      <c r="K17" s="1610">
        <v>146</v>
      </c>
      <c r="L17" s="1610">
        <v>253</v>
      </c>
      <c r="M17" s="1611">
        <v>2502</v>
      </c>
      <c r="N17" s="1612">
        <v>20.3</v>
      </c>
    </row>
    <row r="18" spans="1:14" ht="15.75" customHeight="1">
      <c r="A18" s="779" t="s">
        <v>164</v>
      </c>
      <c r="B18" s="1344">
        <v>182368</v>
      </c>
      <c r="C18" s="1617">
        <v>958</v>
      </c>
      <c r="D18" s="1617">
        <v>596</v>
      </c>
      <c r="E18" s="1617">
        <v>23210</v>
      </c>
      <c r="F18" s="1617">
        <v>153203</v>
      </c>
      <c r="G18" s="1617" t="s">
        <v>148</v>
      </c>
      <c r="H18" s="1617">
        <v>127387</v>
      </c>
      <c r="I18" s="1617">
        <v>3648</v>
      </c>
      <c r="J18" s="1617">
        <v>22073</v>
      </c>
      <c r="K18" s="1617">
        <v>0</v>
      </c>
      <c r="L18" s="1617">
        <v>95</v>
      </c>
      <c r="M18" s="1618">
        <v>5657</v>
      </c>
      <c r="N18" s="1619">
        <v>15.3</v>
      </c>
    </row>
    <row r="19" spans="1:14" ht="15.75" customHeight="1">
      <c r="A19" s="795" t="s">
        <v>166</v>
      </c>
      <c r="B19" s="526">
        <v>111714</v>
      </c>
      <c r="C19" s="1610">
        <v>917</v>
      </c>
      <c r="D19" s="1610">
        <v>576</v>
      </c>
      <c r="E19" s="1610">
        <v>9184</v>
      </c>
      <c r="F19" s="1610">
        <v>96333</v>
      </c>
      <c r="G19" s="1610">
        <v>0</v>
      </c>
      <c r="H19" s="1610">
        <v>85523</v>
      </c>
      <c r="I19" s="1610">
        <v>2744</v>
      </c>
      <c r="J19" s="1610">
        <v>6269</v>
      </c>
      <c r="K19" s="1610">
        <v>223</v>
      </c>
      <c r="L19" s="1610">
        <v>1574</v>
      </c>
      <c r="M19" s="1611">
        <v>6197</v>
      </c>
      <c r="N19" s="1612">
        <v>19</v>
      </c>
    </row>
    <row r="20" spans="1:14" ht="15.75" customHeight="1">
      <c r="A20" s="779" t="s">
        <v>167</v>
      </c>
      <c r="B20" s="1344">
        <v>126295</v>
      </c>
      <c r="C20" s="1617">
        <v>932</v>
      </c>
      <c r="D20" s="1617">
        <v>697</v>
      </c>
      <c r="E20" s="1617">
        <v>7227</v>
      </c>
      <c r="F20" s="1617">
        <v>114891</v>
      </c>
      <c r="G20" s="1617" t="s">
        <v>153</v>
      </c>
      <c r="H20" s="1617">
        <v>101555</v>
      </c>
      <c r="I20" s="1617">
        <v>4496</v>
      </c>
      <c r="J20" s="1617">
        <v>8341</v>
      </c>
      <c r="K20" s="1617" t="s">
        <v>153</v>
      </c>
      <c r="L20" s="1617">
        <v>499</v>
      </c>
      <c r="M20" s="1618">
        <v>4177</v>
      </c>
      <c r="N20" s="1619">
        <v>11.2</v>
      </c>
    </row>
    <row r="21" spans="1:14" ht="15.75" customHeight="1">
      <c r="A21" s="795" t="s">
        <v>173</v>
      </c>
      <c r="B21" s="526">
        <v>106614</v>
      </c>
      <c r="C21" s="1610">
        <v>826</v>
      </c>
      <c r="D21" s="1610">
        <v>502</v>
      </c>
      <c r="E21" s="1610">
        <v>5871</v>
      </c>
      <c r="F21" s="1610">
        <v>96544</v>
      </c>
      <c r="G21" s="1610" t="s">
        <v>148</v>
      </c>
      <c r="H21" s="1610">
        <v>79285</v>
      </c>
      <c r="I21" s="1610">
        <v>3242</v>
      </c>
      <c r="J21" s="1610">
        <v>13678</v>
      </c>
      <c r="K21" s="1610">
        <v>83</v>
      </c>
      <c r="L21" s="1610">
        <v>256</v>
      </c>
      <c r="M21" s="1611">
        <v>4199</v>
      </c>
      <c r="N21" s="1612">
        <v>21.6</v>
      </c>
    </row>
    <row r="22" spans="1:14" ht="15.75" customHeight="1">
      <c r="A22" s="779" t="s">
        <v>267</v>
      </c>
      <c r="B22" s="1344">
        <v>180205</v>
      </c>
      <c r="C22" s="1617">
        <v>814</v>
      </c>
      <c r="D22" s="1617">
        <v>482</v>
      </c>
      <c r="E22" s="1617">
        <v>10874</v>
      </c>
      <c r="F22" s="1617">
        <v>158552</v>
      </c>
      <c r="G22" s="1617">
        <v>134419</v>
      </c>
      <c r="H22" s="1617" t="s">
        <v>153</v>
      </c>
      <c r="I22" s="1617" t="s">
        <v>153</v>
      </c>
      <c r="J22" s="1617">
        <v>20970</v>
      </c>
      <c r="K22" s="1617">
        <v>104</v>
      </c>
      <c r="L22" s="1617">
        <v>3059</v>
      </c>
      <c r="M22" s="1618">
        <v>10779</v>
      </c>
      <c r="N22" s="1619">
        <v>23</v>
      </c>
    </row>
    <row r="23" spans="1:14" ht="15.75" customHeight="1">
      <c r="A23" s="795" t="s">
        <v>178</v>
      </c>
      <c r="B23" s="526">
        <v>103747</v>
      </c>
      <c r="C23" s="1610">
        <v>823</v>
      </c>
      <c r="D23" s="1610">
        <v>634</v>
      </c>
      <c r="E23" s="1610">
        <v>1058</v>
      </c>
      <c r="F23" s="1610">
        <v>97449</v>
      </c>
      <c r="G23" s="1610" t="s">
        <v>153</v>
      </c>
      <c r="H23" s="1610">
        <v>85683</v>
      </c>
      <c r="I23" s="1610">
        <v>1883</v>
      </c>
      <c r="J23" s="1610">
        <v>8396</v>
      </c>
      <c r="K23" s="1610">
        <v>258</v>
      </c>
      <c r="L23" s="1610">
        <v>1229</v>
      </c>
      <c r="M23" s="1611">
        <v>5240</v>
      </c>
      <c r="N23" s="1612">
        <v>16.600000000000001</v>
      </c>
    </row>
    <row r="24" spans="1:14" ht="15.75" customHeight="1">
      <c r="A24" s="779" t="s">
        <v>179</v>
      </c>
      <c r="B24" s="1344">
        <v>200270</v>
      </c>
      <c r="C24" s="1617">
        <v>849</v>
      </c>
      <c r="D24" s="1617">
        <v>644.98250651175499</v>
      </c>
      <c r="E24" s="1617">
        <v>11515</v>
      </c>
      <c r="F24" s="1617">
        <v>128691</v>
      </c>
      <c r="G24" s="1617">
        <v>0</v>
      </c>
      <c r="H24" s="1617">
        <v>112499</v>
      </c>
      <c r="I24" s="1617">
        <v>3422</v>
      </c>
      <c r="J24" s="1617">
        <v>9103</v>
      </c>
      <c r="K24" s="1617">
        <v>52</v>
      </c>
      <c r="L24" s="1617">
        <v>3615</v>
      </c>
      <c r="M24" s="1618">
        <v>17743</v>
      </c>
      <c r="N24" s="1619">
        <v>22.7</v>
      </c>
    </row>
    <row r="25" spans="1:14" ht="15.75" customHeight="1">
      <c r="A25" s="795" t="s">
        <v>182</v>
      </c>
      <c r="B25" s="1340">
        <v>135233</v>
      </c>
      <c r="C25" s="1604">
        <v>860</v>
      </c>
      <c r="D25" s="1604">
        <v>441</v>
      </c>
      <c r="E25" s="1604">
        <v>6998</v>
      </c>
      <c r="F25" s="1604">
        <v>128235</v>
      </c>
      <c r="G25" s="1620" t="s">
        <v>153</v>
      </c>
      <c r="H25" s="1604">
        <v>93250</v>
      </c>
      <c r="I25" s="1604">
        <v>7175</v>
      </c>
      <c r="J25" s="1604">
        <v>26882</v>
      </c>
      <c r="K25" s="1604">
        <v>133</v>
      </c>
      <c r="L25" s="1604">
        <v>795</v>
      </c>
      <c r="M25" s="1616" t="s">
        <v>148</v>
      </c>
      <c r="N25" s="1605">
        <v>19.768103939127286</v>
      </c>
    </row>
    <row r="26" spans="1:14" ht="15.75" customHeight="1">
      <c r="A26" s="779" t="s">
        <v>184</v>
      </c>
      <c r="B26" s="527">
        <v>153570</v>
      </c>
      <c r="C26" s="1613">
        <v>748.21318243758469</v>
      </c>
      <c r="D26" s="1613">
        <v>638.66331327623095</v>
      </c>
      <c r="E26" s="1613">
        <v>3346</v>
      </c>
      <c r="F26" s="1613">
        <v>144522</v>
      </c>
      <c r="G26" s="1613" t="s">
        <v>153</v>
      </c>
      <c r="H26" s="1613">
        <v>103938</v>
      </c>
      <c r="I26" s="1613">
        <v>4504</v>
      </c>
      <c r="J26" s="1613">
        <v>33059</v>
      </c>
      <c r="K26" s="1613">
        <v>357</v>
      </c>
      <c r="L26" s="1613">
        <v>2664</v>
      </c>
      <c r="M26" s="1614">
        <v>5702</v>
      </c>
      <c r="N26" s="1615">
        <v>34.586833365891778</v>
      </c>
    </row>
    <row r="27" spans="1:14" ht="15.75" customHeight="1">
      <c r="A27" s="795" t="s">
        <v>186</v>
      </c>
      <c r="B27" s="526">
        <v>121696</v>
      </c>
      <c r="C27" s="1610">
        <v>867</v>
      </c>
      <c r="D27" s="1610">
        <v>488</v>
      </c>
      <c r="E27" s="1610">
        <v>6920</v>
      </c>
      <c r="F27" s="1610">
        <v>96891</v>
      </c>
      <c r="G27" s="1610" t="s">
        <v>148</v>
      </c>
      <c r="H27" s="1610">
        <v>81420</v>
      </c>
      <c r="I27" s="1610">
        <v>993</v>
      </c>
      <c r="J27" s="1610">
        <v>13365</v>
      </c>
      <c r="K27" s="1610" t="s">
        <v>148</v>
      </c>
      <c r="L27" s="1610">
        <v>1113</v>
      </c>
      <c r="M27" s="1611">
        <v>17885</v>
      </c>
      <c r="N27" s="1612">
        <v>33.299999999999997</v>
      </c>
    </row>
    <row r="28" spans="1:14" ht="15.75" customHeight="1">
      <c r="A28" s="779" t="s">
        <v>187</v>
      </c>
      <c r="B28" s="527">
        <v>153063</v>
      </c>
      <c r="C28" s="1613">
        <v>1022</v>
      </c>
      <c r="D28" s="1613">
        <v>691</v>
      </c>
      <c r="E28" s="1613" t="s">
        <v>148</v>
      </c>
      <c r="F28" s="1613">
        <v>143214</v>
      </c>
      <c r="G28" s="1613" t="s">
        <v>148</v>
      </c>
      <c r="H28" s="1613">
        <v>117385</v>
      </c>
      <c r="I28" s="1613">
        <v>4932</v>
      </c>
      <c r="J28" s="1613">
        <v>20036</v>
      </c>
      <c r="K28" s="1613">
        <v>861</v>
      </c>
      <c r="L28" s="1613" t="s">
        <v>148</v>
      </c>
      <c r="M28" s="1614">
        <v>9849</v>
      </c>
      <c r="N28" s="1615">
        <v>22.2</v>
      </c>
    </row>
    <row r="29" spans="1:14" ht="15.75" customHeight="1">
      <c r="A29" s="795" t="s">
        <v>269</v>
      </c>
      <c r="B29" s="526">
        <v>147679</v>
      </c>
      <c r="C29" s="1610">
        <v>900</v>
      </c>
      <c r="D29" s="1610">
        <v>448</v>
      </c>
      <c r="E29" s="1610">
        <v>14503</v>
      </c>
      <c r="F29" s="1610">
        <v>130078</v>
      </c>
      <c r="G29" s="1610" t="s">
        <v>153</v>
      </c>
      <c r="H29" s="1610">
        <v>111146</v>
      </c>
      <c r="I29" s="1610">
        <v>4628</v>
      </c>
      <c r="J29" s="1610">
        <v>12473</v>
      </c>
      <c r="K29" s="1610" t="s">
        <v>153</v>
      </c>
      <c r="L29" s="1610">
        <v>1831</v>
      </c>
      <c r="M29" s="1611">
        <v>3098</v>
      </c>
      <c r="N29" s="1612">
        <v>13.1</v>
      </c>
    </row>
    <row r="30" spans="1:14" ht="15.75" customHeight="1">
      <c r="A30" s="779" t="s">
        <v>270</v>
      </c>
      <c r="B30" s="1344">
        <v>84843</v>
      </c>
      <c r="C30" s="1617">
        <v>894</v>
      </c>
      <c r="D30" s="1617">
        <v>532</v>
      </c>
      <c r="E30" s="1617">
        <v>6179</v>
      </c>
      <c r="F30" s="1617">
        <v>75064</v>
      </c>
      <c r="G30" s="1617">
        <v>0</v>
      </c>
      <c r="H30" s="1617">
        <v>62125</v>
      </c>
      <c r="I30" s="1617">
        <v>8107</v>
      </c>
      <c r="J30" s="1617">
        <v>4533</v>
      </c>
      <c r="K30" s="1617">
        <v>0</v>
      </c>
      <c r="L30" s="1617">
        <v>299</v>
      </c>
      <c r="M30" s="1618">
        <v>3600</v>
      </c>
      <c r="N30" s="1619">
        <v>11.8</v>
      </c>
    </row>
    <row r="31" spans="1:14" ht="15.75" customHeight="1">
      <c r="A31" s="795" t="s">
        <v>271</v>
      </c>
      <c r="B31" s="1345">
        <v>70325</v>
      </c>
      <c r="C31" s="1622">
        <v>1033</v>
      </c>
      <c r="D31" s="1622">
        <v>716</v>
      </c>
      <c r="E31" s="1622">
        <v>4876</v>
      </c>
      <c r="F31" s="1622">
        <v>61586</v>
      </c>
      <c r="G31" s="1622" t="s">
        <v>153</v>
      </c>
      <c r="H31" s="1622">
        <v>51857</v>
      </c>
      <c r="I31" s="1622">
        <v>4214</v>
      </c>
      <c r="J31" s="1622">
        <v>5515</v>
      </c>
      <c r="K31" s="1622" t="s">
        <v>153</v>
      </c>
      <c r="L31" s="1622" t="s">
        <v>153</v>
      </c>
      <c r="M31" s="1622">
        <v>3863</v>
      </c>
      <c r="N31" s="1623">
        <v>18.260000000000002</v>
      </c>
    </row>
    <row r="32" spans="1:14" ht="15.75" customHeight="1">
      <c r="A32" s="779" t="s">
        <v>193</v>
      </c>
      <c r="B32" s="527">
        <v>120584</v>
      </c>
      <c r="C32" s="1613">
        <v>891.7</v>
      </c>
      <c r="D32" s="1613">
        <v>610.1</v>
      </c>
      <c r="E32" s="1613">
        <v>4809</v>
      </c>
      <c r="F32" s="1613">
        <v>107556</v>
      </c>
      <c r="G32" s="1613" t="s">
        <v>153</v>
      </c>
      <c r="H32" s="1613">
        <v>85324</v>
      </c>
      <c r="I32" s="1613">
        <v>5177</v>
      </c>
      <c r="J32" s="1613">
        <v>17055</v>
      </c>
      <c r="K32" s="1613" t="s">
        <v>153</v>
      </c>
      <c r="L32" s="1613" t="s">
        <v>153</v>
      </c>
      <c r="M32" s="1614">
        <v>8219</v>
      </c>
      <c r="N32" s="1615">
        <v>28.3</v>
      </c>
    </row>
    <row r="33" spans="1:14" ht="15.75" customHeight="1">
      <c r="A33" s="795" t="s">
        <v>359</v>
      </c>
      <c r="B33" s="1345">
        <v>85874</v>
      </c>
      <c r="C33" s="1622">
        <v>991</v>
      </c>
      <c r="D33" s="1622">
        <v>528</v>
      </c>
      <c r="E33" s="1622">
        <v>5248</v>
      </c>
      <c r="F33" s="1622">
        <v>79465</v>
      </c>
      <c r="G33" s="1622" t="s">
        <v>153</v>
      </c>
      <c r="H33" s="1622">
        <v>72058</v>
      </c>
      <c r="I33" s="1622">
        <v>714</v>
      </c>
      <c r="J33" s="1622">
        <v>6693</v>
      </c>
      <c r="K33" s="1622" t="s">
        <v>153</v>
      </c>
      <c r="L33" s="1622" t="s">
        <v>153</v>
      </c>
      <c r="M33" s="1622">
        <v>1161</v>
      </c>
      <c r="N33" s="1623">
        <v>19.600000000000001</v>
      </c>
    </row>
    <row r="34" spans="1:14" ht="15.75" customHeight="1">
      <c r="A34" s="779" t="s">
        <v>196</v>
      </c>
      <c r="B34" s="1344">
        <v>134612</v>
      </c>
      <c r="C34" s="1617">
        <v>921.5</v>
      </c>
      <c r="D34" s="1617">
        <v>574.4</v>
      </c>
      <c r="E34" s="1617">
        <v>7867</v>
      </c>
      <c r="F34" s="1617">
        <v>121862</v>
      </c>
      <c r="G34" s="1624" t="s">
        <v>153</v>
      </c>
      <c r="H34" s="1617">
        <v>108765</v>
      </c>
      <c r="I34" s="1617" t="s">
        <v>153</v>
      </c>
      <c r="J34" s="1617">
        <v>9243</v>
      </c>
      <c r="K34" s="1624">
        <v>375</v>
      </c>
      <c r="L34" s="1617">
        <v>3479</v>
      </c>
      <c r="M34" s="1618">
        <v>4883</v>
      </c>
      <c r="N34" s="1619">
        <v>10.79</v>
      </c>
    </row>
    <row r="35" spans="1:14" ht="15.75" customHeight="1">
      <c r="A35" s="795" t="s">
        <v>197</v>
      </c>
      <c r="B35" s="526">
        <v>123712</v>
      </c>
      <c r="C35" s="1610">
        <v>908</v>
      </c>
      <c r="D35" s="1610">
        <v>429</v>
      </c>
      <c r="E35" s="1610">
        <v>20127</v>
      </c>
      <c r="F35" s="1610">
        <v>99329</v>
      </c>
      <c r="G35" s="1610" t="s">
        <v>148</v>
      </c>
      <c r="H35" s="1610">
        <v>68023</v>
      </c>
      <c r="I35" s="1610">
        <v>4950</v>
      </c>
      <c r="J35" s="1610">
        <v>25845</v>
      </c>
      <c r="K35" s="1610">
        <v>182</v>
      </c>
      <c r="L35" s="1610">
        <v>329</v>
      </c>
      <c r="M35" s="1611">
        <v>4256</v>
      </c>
      <c r="N35" s="1612">
        <v>23.5</v>
      </c>
    </row>
    <row r="36" spans="1:14" ht="15.75" customHeight="1">
      <c r="A36" s="779" t="s">
        <v>198</v>
      </c>
      <c r="B36" s="1344">
        <v>130218</v>
      </c>
      <c r="C36" s="1617">
        <v>925</v>
      </c>
      <c r="D36" s="1617">
        <v>569</v>
      </c>
      <c r="E36" s="1617">
        <v>18693</v>
      </c>
      <c r="F36" s="1617">
        <v>107998</v>
      </c>
      <c r="G36" s="1387" t="s">
        <v>148</v>
      </c>
      <c r="H36" s="1617">
        <v>96562</v>
      </c>
      <c r="I36" s="1617">
        <v>2947</v>
      </c>
      <c r="J36" s="1617">
        <v>8165</v>
      </c>
      <c r="K36" s="1387">
        <v>138</v>
      </c>
      <c r="L36" s="1387">
        <v>186</v>
      </c>
      <c r="M36" s="1618">
        <v>3527</v>
      </c>
      <c r="N36" s="1619">
        <v>17.899999999999999</v>
      </c>
    </row>
    <row r="37" spans="1:14" ht="15.75" customHeight="1">
      <c r="A37" s="795" t="s">
        <v>199</v>
      </c>
      <c r="B37" s="526">
        <v>117614</v>
      </c>
      <c r="C37" s="1610">
        <v>842</v>
      </c>
      <c r="D37" s="1610">
        <v>552</v>
      </c>
      <c r="E37" s="1610">
        <v>9487</v>
      </c>
      <c r="F37" s="1610">
        <v>107560</v>
      </c>
      <c r="G37" s="1610" t="s">
        <v>153</v>
      </c>
      <c r="H37" s="1610">
        <v>85918</v>
      </c>
      <c r="I37" s="1610">
        <v>4680</v>
      </c>
      <c r="J37" s="1610">
        <v>15867</v>
      </c>
      <c r="K37" s="1610">
        <v>113</v>
      </c>
      <c r="L37" s="1610">
        <v>982</v>
      </c>
      <c r="M37" s="1610">
        <v>567</v>
      </c>
      <c r="N37" s="1612">
        <v>15</v>
      </c>
    </row>
    <row r="38" spans="1:14" ht="15.75" customHeight="1">
      <c r="A38" s="779" t="s">
        <v>201</v>
      </c>
      <c r="B38" s="1344">
        <v>146045</v>
      </c>
      <c r="C38" s="1617">
        <v>953</v>
      </c>
      <c r="D38" s="1617">
        <v>553</v>
      </c>
      <c r="E38" s="1617">
        <v>24169</v>
      </c>
      <c r="F38" s="1617">
        <v>119235</v>
      </c>
      <c r="G38" s="1617">
        <v>0</v>
      </c>
      <c r="H38" s="1617">
        <v>101427</v>
      </c>
      <c r="I38" s="1617">
        <v>3008</v>
      </c>
      <c r="J38" s="1617">
        <v>13596</v>
      </c>
      <c r="K38" s="1617">
        <v>281</v>
      </c>
      <c r="L38" s="1617">
        <v>923</v>
      </c>
      <c r="M38" s="1617">
        <v>2641</v>
      </c>
      <c r="N38" s="1619">
        <v>18.3</v>
      </c>
    </row>
    <row r="39" spans="1:14" ht="15.75" customHeight="1">
      <c r="A39" s="795" t="s">
        <v>203</v>
      </c>
      <c r="B39" s="1340">
        <v>100953</v>
      </c>
      <c r="C39" s="1604">
        <v>804</v>
      </c>
      <c r="D39" s="1604">
        <v>615</v>
      </c>
      <c r="E39" s="1604">
        <v>2465</v>
      </c>
      <c r="F39" s="1604">
        <v>92465</v>
      </c>
      <c r="G39" s="1604" t="s">
        <v>153</v>
      </c>
      <c r="H39" s="1604">
        <v>80803</v>
      </c>
      <c r="I39" s="1604">
        <v>2608</v>
      </c>
      <c r="J39" s="1604">
        <v>8016</v>
      </c>
      <c r="K39" s="1604" t="s">
        <v>153</v>
      </c>
      <c r="L39" s="1604">
        <v>1038</v>
      </c>
      <c r="M39" s="1604">
        <v>6023</v>
      </c>
      <c r="N39" s="1605">
        <v>15.2</v>
      </c>
    </row>
    <row r="40" spans="1:14" ht="15.75" customHeight="1">
      <c r="A40" s="779" t="s">
        <v>204</v>
      </c>
      <c r="B40" s="527">
        <v>120602</v>
      </c>
      <c r="C40" s="1613">
        <v>808</v>
      </c>
      <c r="D40" s="1613">
        <v>423</v>
      </c>
      <c r="E40" s="1613">
        <v>7670</v>
      </c>
      <c r="F40" s="1613">
        <v>108193</v>
      </c>
      <c r="G40" s="1613">
        <v>0</v>
      </c>
      <c r="H40" s="1613">
        <v>89018</v>
      </c>
      <c r="I40" s="1613">
        <v>3134</v>
      </c>
      <c r="J40" s="1613">
        <v>14578</v>
      </c>
      <c r="K40" s="1613">
        <v>0</v>
      </c>
      <c r="L40" s="1613">
        <v>1463</v>
      </c>
      <c r="M40" s="1614">
        <v>4739</v>
      </c>
      <c r="N40" s="1615">
        <v>15.82</v>
      </c>
    </row>
    <row r="41" spans="1:14" ht="15.75" customHeight="1">
      <c r="A41" s="795" t="s">
        <v>205</v>
      </c>
      <c r="B41" s="526">
        <v>112792.27</v>
      </c>
      <c r="C41" s="1610">
        <v>816.46542877054355</v>
      </c>
      <c r="D41" s="1610">
        <v>479</v>
      </c>
      <c r="E41" s="1610">
        <v>4424</v>
      </c>
      <c r="F41" s="1610">
        <v>101864</v>
      </c>
      <c r="G41" s="1610" t="s">
        <v>148</v>
      </c>
      <c r="H41" s="1610">
        <v>85931</v>
      </c>
      <c r="I41" s="1610">
        <v>2288</v>
      </c>
      <c r="J41" s="1610">
        <v>8237</v>
      </c>
      <c r="K41" s="1610">
        <v>286</v>
      </c>
      <c r="L41" s="1610">
        <v>5122</v>
      </c>
      <c r="M41" s="1611">
        <v>6507.87</v>
      </c>
      <c r="N41" s="1612">
        <v>15.69</v>
      </c>
    </row>
    <row r="42" spans="1:14" ht="15.75" customHeight="1">
      <c r="A42" s="779" t="s">
        <v>208</v>
      </c>
      <c r="B42" s="527">
        <v>111689</v>
      </c>
      <c r="C42" s="1613">
        <v>873</v>
      </c>
      <c r="D42" s="1613">
        <v>614</v>
      </c>
      <c r="E42" s="1613">
        <v>5650</v>
      </c>
      <c r="F42" s="1617">
        <v>98248</v>
      </c>
      <c r="G42" s="1613">
        <v>0</v>
      </c>
      <c r="H42" s="1613">
        <v>82655</v>
      </c>
      <c r="I42" s="1613">
        <v>2854</v>
      </c>
      <c r="J42" s="1613">
        <v>7494</v>
      </c>
      <c r="K42" s="1613">
        <v>0</v>
      </c>
      <c r="L42" s="1613">
        <v>5245</v>
      </c>
      <c r="M42" s="1614">
        <v>7791</v>
      </c>
      <c r="N42" s="1615">
        <v>13.3</v>
      </c>
    </row>
    <row r="43" spans="1:14" ht="15.75" customHeight="1">
      <c r="A43" s="795" t="s">
        <v>209</v>
      </c>
      <c r="B43" s="1340">
        <v>113332</v>
      </c>
      <c r="C43" s="1604">
        <v>780</v>
      </c>
      <c r="D43" s="1604">
        <v>583</v>
      </c>
      <c r="E43" s="1604">
        <v>1081</v>
      </c>
      <c r="F43" s="1604">
        <v>101065</v>
      </c>
      <c r="G43" s="1604">
        <v>0</v>
      </c>
      <c r="H43" s="1604">
        <v>84484</v>
      </c>
      <c r="I43" s="1604">
        <v>0</v>
      </c>
      <c r="J43" s="1604">
        <v>9416</v>
      </c>
      <c r="K43" s="1604">
        <v>11</v>
      </c>
      <c r="L43" s="1604">
        <v>7154</v>
      </c>
      <c r="M43" s="1616">
        <v>11186</v>
      </c>
      <c r="N43" s="1605">
        <v>19</v>
      </c>
    </row>
    <row r="44" spans="1:14" ht="15.75" customHeight="1">
      <c r="A44" s="779" t="s">
        <v>273</v>
      </c>
      <c r="B44" s="527">
        <v>77985</v>
      </c>
      <c r="C44" s="1613">
        <v>809</v>
      </c>
      <c r="D44" s="1613">
        <v>486</v>
      </c>
      <c r="E44" s="1613">
        <v>758</v>
      </c>
      <c r="F44" s="1613">
        <v>71270</v>
      </c>
      <c r="G44" s="1613" t="s">
        <v>148</v>
      </c>
      <c r="H44" s="1617">
        <f>43570+20500</f>
        <v>64070</v>
      </c>
      <c r="I44" s="1613">
        <v>1672</v>
      </c>
      <c r="J44" s="1613">
        <v>4672</v>
      </c>
      <c r="K44" s="1613" t="s">
        <v>148</v>
      </c>
      <c r="L44" s="1613">
        <v>856</v>
      </c>
      <c r="M44" s="1614">
        <v>5957</v>
      </c>
      <c r="N44" s="1615">
        <v>12.6</v>
      </c>
    </row>
    <row r="45" spans="1:14" ht="15.75" customHeight="1">
      <c r="A45" s="795" t="s">
        <v>274</v>
      </c>
      <c r="B45" s="1340">
        <v>68881.741999999998</v>
      </c>
      <c r="C45" s="1604">
        <v>824</v>
      </c>
      <c r="D45" s="1604">
        <v>449</v>
      </c>
      <c r="E45" s="1604">
        <v>2400</v>
      </c>
      <c r="F45" s="1604">
        <v>61719</v>
      </c>
      <c r="G45" s="1604" t="s">
        <v>148</v>
      </c>
      <c r="H45" s="1604">
        <v>47520</v>
      </c>
      <c r="I45" s="1604">
        <v>3012</v>
      </c>
      <c r="J45" s="1604">
        <v>10504</v>
      </c>
      <c r="K45" s="1604">
        <v>106.65</v>
      </c>
      <c r="L45" s="1604">
        <v>575.75</v>
      </c>
      <c r="M45" s="1604">
        <v>4763.2820000000002</v>
      </c>
      <c r="N45" s="1346">
        <v>21.3</v>
      </c>
    </row>
    <row r="46" spans="1:14" ht="15.75" customHeight="1">
      <c r="A46" s="779" t="s">
        <v>215</v>
      </c>
      <c r="B46" s="527">
        <v>176558</v>
      </c>
      <c r="C46" s="1613">
        <v>1005</v>
      </c>
      <c r="D46" s="1613">
        <v>520</v>
      </c>
      <c r="E46" s="1613">
        <v>5496</v>
      </c>
      <c r="F46" s="1613">
        <v>162575</v>
      </c>
      <c r="G46" s="1613">
        <v>149965</v>
      </c>
      <c r="H46" s="1617" t="s">
        <v>185</v>
      </c>
      <c r="I46" s="1617" t="s">
        <v>185</v>
      </c>
      <c r="J46" s="1613">
        <v>7306</v>
      </c>
      <c r="K46" s="1617" t="s">
        <v>153</v>
      </c>
      <c r="L46" s="1613">
        <v>5304</v>
      </c>
      <c r="M46" s="1614">
        <v>8487</v>
      </c>
      <c r="N46" s="1615">
        <v>9.1</v>
      </c>
    </row>
    <row r="47" spans="1:14" ht="15.75" customHeight="1">
      <c r="A47" s="795" t="s">
        <v>216</v>
      </c>
      <c r="B47" s="1340">
        <v>178594</v>
      </c>
      <c r="C47" s="1610">
        <v>924</v>
      </c>
      <c r="D47" s="1610">
        <v>632</v>
      </c>
      <c r="E47" s="1604">
        <v>22341</v>
      </c>
      <c r="F47" s="1604">
        <v>154093</v>
      </c>
      <c r="G47" s="1604" t="s">
        <v>153</v>
      </c>
      <c r="H47" s="1604">
        <v>131292</v>
      </c>
      <c r="I47" s="1604">
        <v>2013</v>
      </c>
      <c r="J47" s="1604">
        <v>12148</v>
      </c>
      <c r="K47" s="1604" t="s">
        <v>153</v>
      </c>
      <c r="L47" s="1604">
        <v>8640</v>
      </c>
      <c r="M47" s="1616">
        <v>2160</v>
      </c>
      <c r="N47" s="1605">
        <v>17.2</v>
      </c>
    </row>
    <row r="48" spans="1:14" ht="15.75" customHeight="1">
      <c r="A48" s="779" t="s">
        <v>218</v>
      </c>
      <c r="B48" s="527">
        <v>146531</v>
      </c>
      <c r="C48" s="1613">
        <v>871</v>
      </c>
      <c r="D48" s="1613">
        <v>479</v>
      </c>
      <c r="E48" s="1613">
        <v>8316</v>
      </c>
      <c r="F48" s="1613">
        <v>133571</v>
      </c>
      <c r="G48" s="1613">
        <v>0</v>
      </c>
      <c r="H48" s="1613">
        <v>113607</v>
      </c>
      <c r="I48" s="1613">
        <v>1387</v>
      </c>
      <c r="J48" s="1613">
        <v>15056</v>
      </c>
      <c r="K48" s="1613">
        <v>0</v>
      </c>
      <c r="L48" s="1613">
        <v>3521</v>
      </c>
      <c r="M48" s="1614">
        <v>4644</v>
      </c>
      <c r="N48" s="1615">
        <v>12.8</v>
      </c>
    </row>
    <row r="49" spans="1:14" ht="15.75" customHeight="1">
      <c r="A49" s="795" t="s">
        <v>275</v>
      </c>
      <c r="B49" s="526">
        <v>97451</v>
      </c>
      <c r="C49" s="1610">
        <v>877</v>
      </c>
      <c r="D49" s="1610">
        <v>608</v>
      </c>
      <c r="E49" s="1610">
        <v>6561</v>
      </c>
      <c r="F49" s="1610">
        <v>86780</v>
      </c>
      <c r="G49" s="1620" t="s">
        <v>153</v>
      </c>
      <c r="H49" s="1610">
        <v>77017</v>
      </c>
      <c r="I49" s="1610">
        <v>3952</v>
      </c>
      <c r="J49" s="1610">
        <v>5022</v>
      </c>
      <c r="K49" s="1620" t="s">
        <v>153</v>
      </c>
      <c r="L49" s="1604">
        <v>789</v>
      </c>
      <c r="M49" s="1616">
        <v>4110</v>
      </c>
      <c r="N49" s="1612">
        <v>9</v>
      </c>
    </row>
    <row r="50" spans="1:14" ht="15.75" customHeight="1">
      <c r="A50" s="779" t="s">
        <v>220</v>
      </c>
      <c r="B50" s="527">
        <v>161492</v>
      </c>
      <c r="C50" s="1613">
        <f>B50/365/484974*1000000</f>
        <v>912.30423819924033</v>
      </c>
      <c r="D50" s="1613">
        <f>(96143-5416-838-2509-41)/365/484974*1000000</f>
        <v>493.39744296982792</v>
      </c>
      <c r="E50" s="1613">
        <v>12843</v>
      </c>
      <c r="F50" s="1613">
        <f>SUM(G50:L50)</f>
        <v>139455</v>
      </c>
      <c r="G50" s="1613" t="s">
        <v>153</v>
      </c>
      <c r="H50" s="1613">
        <v>121036</v>
      </c>
      <c r="I50" s="1613">
        <v>7193</v>
      </c>
      <c r="J50" s="1613">
        <v>8804</v>
      </c>
      <c r="K50" s="1613" t="s">
        <v>153</v>
      </c>
      <c r="L50" s="1613">
        <v>2422</v>
      </c>
      <c r="M50" s="1614">
        <v>9194</v>
      </c>
      <c r="N50" s="1615">
        <v>13.8</v>
      </c>
    </row>
    <row r="51" spans="1:14" ht="15.75" customHeight="1">
      <c r="A51" s="795" t="s">
        <v>221</v>
      </c>
      <c r="B51" s="526">
        <v>104959</v>
      </c>
      <c r="C51" s="1610">
        <v>813</v>
      </c>
      <c r="D51" s="1610">
        <v>579</v>
      </c>
      <c r="E51" s="1610">
        <v>6572</v>
      </c>
      <c r="F51" s="1610">
        <v>84472</v>
      </c>
      <c r="G51" s="1610" t="s">
        <v>148</v>
      </c>
      <c r="H51" s="1610">
        <v>71531</v>
      </c>
      <c r="I51" s="1610">
        <v>3405</v>
      </c>
      <c r="J51" s="1610">
        <v>5942</v>
      </c>
      <c r="K51" s="1610">
        <v>1056</v>
      </c>
      <c r="L51" s="1610">
        <v>2538</v>
      </c>
      <c r="M51" s="1611">
        <v>13915</v>
      </c>
      <c r="N51" s="1612">
        <v>20.8</v>
      </c>
    </row>
    <row r="52" spans="1:14" ht="15.75" customHeight="1">
      <c r="A52" s="779" t="s">
        <v>223</v>
      </c>
      <c r="B52" s="1344">
        <v>119597</v>
      </c>
      <c r="C52" s="1617">
        <v>902</v>
      </c>
      <c r="D52" s="1617">
        <v>648</v>
      </c>
      <c r="E52" s="1617">
        <v>11102</v>
      </c>
      <c r="F52" s="1617">
        <v>107958</v>
      </c>
      <c r="G52" s="1617">
        <v>98309</v>
      </c>
      <c r="H52" s="1617" t="s">
        <v>148</v>
      </c>
      <c r="I52" s="1617" t="s">
        <v>148</v>
      </c>
      <c r="J52" s="1617">
        <v>7734</v>
      </c>
      <c r="K52" s="1617" t="s">
        <v>148</v>
      </c>
      <c r="L52" s="1617">
        <v>1915</v>
      </c>
      <c r="M52" s="1618">
        <v>537</v>
      </c>
      <c r="N52" s="1619">
        <v>8.5</v>
      </c>
    </row>
    <row r="53" spans="1:14" ht="15.75" customHeight="1">
      <c r="A53" s="795" t="s">
        <v>276</v>
      </c>
      <c r="B53" s="526">
        <f>E53+F53+M53</f>
        <v>66712</v>
      </c>
      <c r="C53" s="1610">
        <v>989</v>
      </c>
      <c r="D53" s="1610">
        <v>407</v>
      </c>
      <c r="E53" s="1610">
        <v>5596</v>
      </c>
      <c r="F53" s="1610">
        <f>G53+H53+I53+J53+K53+L53</f>
        <v>59058</v>
      </c>
      <c r="G53" s="1610">
        <v>0</v>
      </c>
      <c r="H53" s="1610">
        <v>44089</v>
      </c>
      <c r="I53" s="1610">
        <v>1452</v>
      </c>
      <c r="J53" s="1610">
        <v>13149</v>
      </c>
      <c r="K53" s="1610">
        <v>0</v>
      </c>
      <c r="L53" s="1610">
        <v>368</v>
      </c>
      <c r="M53" s="1611">
        <v>2058</v>
      </c>
      <c r="N53" s="1612">
        <v>23</v>
      </c>
    </row>
    <row r="54" spans="1:14" ht="15.75" customHeight="1">
      <c r="A54" s="779" t="s">
        <v>277</v>
      </c>
      <c r="B54" s="527">
        <v>73682</v>
      </c>
      <c r="C54" s="1613">
        <v>1011</v>
      </c>
      <c r="D54" s="1613">
        <v>681</v>
      </c>
      <c r="E54" s="1613">
        <v>9636</v>
      </c>
      <c r="F54" s="1613">
        <v>64046</v>
      </c>
      <c r="G54" s="1613">
        <v>0</v>
      </c>
      <c r="H54" s="1613">
        <v>48875</v>
      </c>
      <c r="I54" s="1613">
        <v>834</v>
      </c>
      <c r="J54" s="1613">
        <v>13939</v>
      </c>
      <c r="K54" s="1613">
        <v>9</v>
      </c>
      <c r="L54" s="1613">
        <v>389</v>
      </c>
      <c r="M54" s="1614">
        <v>0</v>
      </c>
      <c r="N54" s="1615">
        <v>26.5</v>
      </c>
    </row>
    <row r="55" spans="1:14" ht="15.75" customHeight="1">
      <c r="A55" s="795" t="s">
        <v>226</v>
      </c>
      <c r="B55" s="1340">
        <v>174555</v>
      </c>
      <c r="C55" s="1604">
        <v>1046</v>
      </c>
      <c r="D55" s="1604">
        <v>510</v>
      </c>
      <c r="E55" s="1604">
        <v>31910</v>
      </c>
      <c r="F55" s="1604">
        <v>142645</v>
      </c>
      <c r="G55" s="1604">
        <v>0</v>
      </c>
      <c r="H55" s="1604">
        <v>135912</v>
      </c>
      <c r="I55" s="1604">
        <v>1576</v>
      </c>
      <c r="J55" s="1604">
        <v>4827</v>
      </c>
      <c r="K55" s="1604">
        <v>0</v>
      </c>
      <c r="L55" s="1604">
        <v>330</v>
      </c>
      <c r="M55" s="1616">
        <v>8816</v>
      </c>
      <c r="N55" s="1605">
        <v>43.5</v>
      </c>
    </row>
    <row r="56" spans="1:14" ht="15.75" customHeight="1">
      <c r="A56" s="779" t="s">
        <v>278</v>
      </c>
      <c r="B56" s="527">
        <v>74444</v>
      </c>
      <c r="C56" s="1613">
        <v>951</v>
      </c>
      <c r="D56" s="1613">
        <v>673</v>
      </c>
      <c r="E56" s="1613">
        <v>9196</v>
      </c>
      <c r="F56" s="1613">
        <v>62379</v>
      </c>
      <c r="G56" s="1613">
        <v>0</v>
      </c>
      <c r="H56" s="1613">
        <v>51341</v>
      </c>
      <c r="I56" s="1613">
        <v>2457</v>
      </c>
      <c r="J56" s="1613">
        <v>6013</v>
      </c>
      <c r="K56" s="1613">
        <v>154</v>
      </c>
      <c r="L56" s="1613">
        <v>2414</v>
      </c>
      <c r="M56" s="1618">
        <v>2869</v>
      </c>
      <c r="N56" s="1615">
        <v>14.4</v>
      </c>
    </row>
    <row r="57" spans="1:14" ht="15.75" customHeight="1">
      <c r="A57" s="795" t="s">
        <v>228</v>
      </c>
      <c r="B57" s="1340">
        <v>155372</v>
      </c>
      <c r="C57" s="1604">
        <v>917</v>
      </c>
      <c r="D57" s="1604">
        <v>588</v>
      </c>
      <c r="E57" s="1604">
        <v>6636</v>
      </c>
      <c r="F57" s="1604">
        <v>143860</v>
      </c>
      <c r="G57" s="1604" t="s">
        <v>153</v>
      </c>
      <c r="H57" s="1604">
        <v>126152</v>
      </c>
      <c r="I57" s="1604">
        <v>4650</v>
      </c>
      <c r="J57" s="1604">
        <v>11053</v>
      </c>
      <c r="K57" s="1604" t="s">
        <v>153</v>
      </c>
      <c r="L57" s="1604">
        <v>2005</v>
      </c>
      <c r="M57" s="1616">
        <v>4876</v>
      </c>
      <c r="N57" s="1605">
        <v>43.39</v>
      </c>
    </row>
    <row r="58" spans="1:14" ht="15.75" customHeight="1">
      <c r="A58" s="779" t="s">
        <v>229</v>
      </c>
      <c r="B58" s="1347">
        <v>93190</v>
      </c>
      <c r="C58" s="1607">
        <v>1002</v>
      </c>
      <c r="D58" s="1607">
        <v>599</v>
      </c>
      <c r="E58" s="1607">
        <v>37418</v>
      </c>
      <c r="F58" s="1607">
        <v>52622</v>
      </c>
      <c r="G58" s="1607" t="s">
        <v>148</v>
      </c>
      <c r="H58" s="1607">
        <v>41739</v>
      </c>
      <c r="I58" s="1607" t="s">
        <v>148</v>
      </c>
      <c r="J58" s="1607">
        <v>8147</v>
      </c>
      <c r="K58" s="1607">
        <v>116</v>
      </c>
      <c r="L58" s="1607">
        <v>2620</v>
      </c>
      <c r="M58" s="1625">
        <v>3150</v>
      </c>
      <c r="N58" s="1626">
        <v>38.4</v>
      </c>
    </row>
    <row r="59" spans="1:14" ht="15.75" customHeight="1">
      <c r="A59" s="795" t="s">
        <v>230</v>
      </c>
      <c r="B59" s="1340">
        <v>134945</v>
      </c>
      <c r="C59" s="1604">
        <v>871</v>
      </c>
      <c r="D59" s="1604">
        <v>390</v>
      </c>
      <c r="E59" s="1604">
        <v>4361</v>
      </c>
      <c r="F59" s="1604">
        <v>130584</v>
      </c>
      <c r="G59" s="1610" t="s">
        <v>153</v>
      </c>
      <c r="H59" s="1604">
        <v>97293</v>
      </c>
      <c r="I59" s="1604">
        <v>8733</v>
      </c>
      <c r="J59" s="1604">
        <v>23701</v>
      </c>
      <c r="K59" s="1610" t="s">
        <v>153</v>
      </c>
      <c r="L59" s="1604">
        <v>857</v>
      </c>
      <c r="M59" s="1611" t="s">
        <v>153</v>
      </c>
      <c r="N59" s="1605">
        <v>18.100000000000001</v>
      </c>
    </row>
    <row r="60" spans="1:14" ht="15.75" customHeight="1">
      <c r="A60" s="779" t="s">
        <v>231</v>
      </c>
      <c r="B60" s="1344">
        <v>141050</v>
      </c>
      <c r="C60" s="1617">
        <v>761</v>
      </c>
      <c r="D60" s="1617">
        <v>495</v>
      </c>
      <c r="E60" s="1617">
        <v>33084</v>
      </c>
      <c r="F60" s="1617">
        <v>107966</v>
      </c>
      <c r="G60" s="1617" t="s">
        <v>153</v>
      </c>
      <c r="H60" s="1617">
        <v>82926</v>
      </c>
      <c r="I60" s="1617">
        <v>1525</v>
      </c>
      <c r="J60" s="1617">
        <v>20139</v>
      </c>
      <c r="K60" s="1617">
        <v>125</v>
      </c>
      <c r="L60" s="1617">
        <v>3251</v>
      </c>
      <c r="M60" s="1618" t="s">
        <v>153</v>
      </c>
      <c r="N60" s="1619">
        <v>18.600000000000001</v>
      </c>
    </row>
    <row r="61" spans="1:14" ht="15.75" customHeight="1">
      <c r="A61" s="795" t="s">
        <v>232</v>
      </c>
      <c r="B61" s="526">
        <v>118638</v>
      </c>
      <c r="C61" s="1610">
        <v>1006</v>
      </c>
      <c r="D61" s="1610">
        <v>660</v>
      </c>
      <c r="E61" s="1610">
        <v>9178</v>
      </c>
      <c r="F61" s="1610">
        <v>109460</v>
      </c>
      <c r="G61" s="1610">
        <v>0</v>
      </c>
      <c r="H61" s="1610">
        <v>94089</v>
      </c>
      <c r="I61" s="1610">
        <v>1087</v>
      </c>
      <c r="J61" s="1610">
        <v>10160</v>
      </c>
      <c r="K61" s="1610">
        <v>206</v>
      </c>
      <c r="L61" s="1610">
        <v>3918</v>
      </c>
      <c r="M61" s="1611">
        <v>0</v>
      </c>
      <c r="N61" s="1612">
        <v>17.66</v>
      </c>
    </row>
    <row r="62" spans="1:14" ht="15.75" customHeight="1">
      <c r="A62" s="779" t="s">
        <v>234</v>
      </c>
      <c r="B62" s="527">
        <v>98885</v>
      </c>
      <c r="C62" s="1613">
        <v>893</v>
      </c>
      <c r="D62" s="1613">
        <v>607</v>
      </c>
      <c r="E62" s="1617">
        <v>15509</v>
      </c>
      <c r="F62" s="1617">
        <v>81915</v>
      </c>
      <c r="G62" s="1617" t="s">
        <v>153</v>
      </c>
      <c r="H62" s="1617">
        <v>72833</v>
      </c>
      <c r="I62" s="1613">
        <v>786</v>
      </c>
      <c r="J62" s="1617">
        <v>7256</v>
      </c>
      <c r="K62" s="1617" t="s">
        <v>153</v>
      </c>
      <c r="L62" s="1617">
        <v>1040</v>
      </c>
      <c r="M62" s="1613">
        <v>1461</v>
      </c>
      <c r="N62" s="1615">
        <v>21.8</v>
      </c>
    </row>
    <row r="63" spans="1:14" ht="15.75" customHeight="1">
      <c r="A63" s="795" t="s">
        <v>236</v>
      </c>
      <c r="B63" s="1348">
        <v>149383.5</v>
      </c>
      <c r="C63" s="1610">
        <v>951</v>
      </c>
      <c r="D63" s="1610">
        <v>540.64878999999996</v>
      </c>
      <c r="E63" s="1610">
        <v>48494</v>
      </c>
      <c r="F63" s="1610">
        <v>96072</v>
      </c>
      <c r="G63" s="1610">
        <v>0</v>
      </c>
      <c r="H63" s="1610">
        <v>74189</v>
      </c>
      <c r="I63" s="1610">
        <v>5544</v>
      </c>
      <c r="J63" s="1610">
        <v>15567</v>
      </c>
      <c r="K63" s="1610">
        <v>168</v>
      </c>
      <c r="L63" s="1610">
        <v>604</v>
      </c>
      <c r="M63" s="1610">
        <v>4817.5</v>
      </c>
      <c r="N63" s="1349">
        <v>13.7</v>
      </c>
    </row>
    <row r="64" spans="1:14" ht="15.75" customHeight="1">
      <c r="A64" s="779" t="s">
        <v>279</v>
      </c>
      <c r="B64" s="1350">
        <v>86174</v>
      </c>
      <c r="C64" s="1613">
        <v>969</v>
      </c>
      <c r="D64" s="1613">
        <v>464</v>
      </c>
      <c r="E64" s="1613">
        <v>6485</v>
      </c>
      <c r="F64" s="1613">
        <v>76183</v>
      </c>
      <c r="G64" s="1613">
        <v>0</v>
      </c>
      <c r="H64" s="1613">
        <v>68794</v>
      </c>
      <c r="I64" s="1613">
        <v>3863</v>
      </c>
      <c r="J64" s="1613">
        <v>3236</v>
      </c>
      <c r="K64" s="1613">
        <v>0</v>
      </c>
      <c r="L64" s="1613">
        <v>290</v>
      </c>
      <c r="M64" s="1613">
        <v>3506</v>
      </c>
      <c r="N64" s="1351">
        <v>17.3</v>
      </c>
    </row>
    <row r="65" spans="1:41" ht="15.75" customHeight="1">
      <c r="A65" s="795" t="s">
        <v>238</v>
      </c>
      <c r="B65" s="1352">
        <v>162374</v>
      </c>
      <c r="C65" s="1604">
        <v>932</v>
      </c>
      <c r="D65" s="1604">
        <v>530</v>
      </c>
      <c r="E65" s="1604">
        <v>11875</v>
      </c>
      <c r="F65" s="1604">
        <v>148315</v>
      </c>
      <c r="G65" s="1604" t="s">
        <v>148</v>
      </c>
      <c r="H65" s="1604">
        <v>124122</v>
      </c>
      <c r="I65" s="1604">
        <v>4322</v>
      </c>
      <c r="J65" s="1604">
        <v>19867</v>
      </c>
      <c r="K65" s="1604">
        <v>4</v>
      </c>
      <c r="L65" s="1604" t="s">
        <v>148</v>
      </c>
      <c r="M65" s="1604">
        <v>2184</v>
      </c>
      <c r="N65" s="1346">
        <v>18.899999999999999</v>
      </c>
    </row>
    <row r="66" spans="1:41" ht="15.75" customHeight="1">
      <c r="A66" s="779" t="s">
        <v>239</v>
      </c>
      <c r="B66" s="1353">
        <v>137945</v>
      </c>
      <c r="C66" s="1606">
        <v>942</v>
      </c>
      <c r="D66" s="1606">
        <v>689</v>
      </c>
      <c r="E66" s="1606">
        <v>18956</v>
      </c>
      <c r="F66" s="1606">
        <v>118080</v>
      </c>
      <c r="G66" s="1606">
        <v>0</v>
      </c>
      <c r="H66" s="1606">
        <v>93972</v>
      </c>
      <c r="I66" s="1606">
        <v>3166</v>
      </c>
      <c r="J66" s="1606">
        <v>20584</v>
      </c>
      <c r="K66" s="1606">
        <v>0</v>
      </c>
      <c r="L66" s="1606">
        <v>358</v>
      </c>
      <c r="M66" s="1606">
        <v>909</v>
      </c>
      <c r="N66" s="1354">
        <v>15.2</v>
      </c>
    </row>
    <row r="67" spans="1:41" ht="15.75" customHeight="1">
      <c r="A67" s="795" t="s">
        <v>241</v>
      </c>
      <c r="B67" s="1352">
        <v>203347</v>
      </c>
      <c r="C67" s="1604">
        <v>927.9</v>
      </c>
      <c r="D67" s="1604">
        <v>490</v>
      </c>
      <c r="E67" s="1604">
        <v>64971</v>
      </c>
      <c r="F67" s="1604">
        <v>136520</v>
      </c>
      <c r="G67" s="1342" t="s">
        <v>153</v>
      </c>
      <c r="H67" s="1604">
        <v>104769</v>
      </c>
      <c r="I67" s="1604">
        <v>1631</v>
      </c>
      <c r="J67" s="1604">
        <v>29103</v>
      </c>
      <c r="K67" s="1342" t="s">
        <v>153</v>
      </c>
      <c r="L67" s="1604">
        <v>1017</v>
      </c>
      <c r="M67" s="1604">
        <v>1856</v>
      </c>
      <c r="N67" s="1346">
        <v>13.2</v>
      </c>
      <c r="T67" s="335"/>
      <c r="AO67" t="s">
        <v>153</v>
      </c>
    </row>
    <row r="68" spans="1:41" ht="15.75" customHeight="1" thickBot="1">
      <c r="A68" s="779" t="s">
        <v>243</v>
      </c>
      <c r="B68" s="527">
        <v>97321</v>
      </c>
      <c r="C68" s="1613">
        <v>726</v>
      </c>
      <c r="D68" s="1613">
        <v>485</v>
      </c>
      <c r="E68" s="1613">
        <v>1910</v>
      </c>
      <c r="F68" s="1613">
        <v>95379</v>
      </c>
      <c r="G68" s="1613">
        <v>0</v>
      </c>
      <c r="H68" s="1613">
        <v>79422</v>
      </c>
      <c r="I68" s="1613">
        <v>2167</v>
      </c>
      <c r="J68" s="1613">
        <v>12561</v>
      </c>
      <c r="K68" s="1613">
        <v>186</v>
      </c>
      <c r="L68" s="1613">
        <v>1043</v>
      </c>
      <c r="M68" s="1614">
        <v>31</v>
      </c>
      <c r="N68" s="1615">
        <v>17.100000000000001</v>
      </c>
      <c r="O68" s="336"/>
    </row>
    <row r="69" spans="1:41" ht="15.75" customHeight="1" thickTop="1">
      <c r="A69" s="816" t="s">
        <v>244</v>
      </c>
      <c r="B69" s="1355">
        <f>SUM(B7:B68)</f>
        <v>7546808.5119999992</v>
      </c>
      <c r="C69" s="1356" t="s">
        <v>153</v>
      </c>
      <c r="D69" s="1356" t="s">
        <v>153</v>
      </c>
      <c r="E69" s="1356">
        <f t="shared" ref="E69:M69" si="0">SUM(E7:E68)</f>
        <v>710728</v>
      </c>
      <c r="F69" s="1356">
        <f t="shared" si="0"/>
        <v>6507907</v>
      </c>
      <c r="G69" s="1356">
        <f t="shared" si="0"/>
        <v>469098</v>
      </c>
      <c r="H69" s="1356">
        <f t="shared" si="0"/>
        <v>4988253</v>
      </c>
      <c r="I69" s="1356">
        <f t="shared" si="0"/>
        <v>198248</v>
      </c>
      <c r="J69" s="1356">
        <f t="shared" si="0"/>
        <v>747412</v>
      </c>
      <c r="K69" s="1356">
        <f t="shared" si="0"/>
        <v>6035.65</v>
      </c>
      <c r="L69" s="1356">
        <f t="shared" si="0"/>
        <v>98859.75</v>
      </c>
      <c r="M69" s="1356">
        <f t="shared" si="0"/>
        <v>294373.652</v>
      </c>
      <c r="N69" s="1357" t="s">
        <v>153</v>
      </c>
      <c r="O69" s="336"/>
    </row>
    <row r="70" spans="1:41" ht="15.75" customHeight="1">
      <c r="A70" s="1293" t="s">
        <v>245</v>
      </c>
      <c r="B70" s="1358">
        <f>AVERAGE(B7:B68)</f>
        <v>121722.71793548386</v>
      </c>
      <c r="C70" s="1359">
        <f t="shared" ref="C70:N70" si="1">AVERAGE(C7:C68)</f>
        <v>918.7474099517101</v>
      </c>
      <c r="D70" s="1359">
        <f>AVERAGE(D7:D68)</f>
        <v>566.13027012842474</v>
      </c>
      <c r="E70" s="1359">
        <f t="shared" si="1"/>
        <v>11651.27868852459</v>
      </c>
      <c r="F70" s="1359">
        <f t="shared" si="1"/>
        <v>104966.24193548386</v>
      </c>
      <c r="G70" s="1359">
        <f t="shared" si="1"/>
        <v>20395.565217391304</v>
      </c>
      <c r="H70" s="1359">
        <f t="shared" si="1"/>
        <v>86004.362068965522</v>
      </c>
      <c r="I70" s="1359">
        <f t="shared" si="1"/>
        <v>3540.1428571428573</v>
      </c>
      <c r="J70" s="1359">
        <f t="shared" si="1"/>
        <v>12055.032258064517</v>
      </c>
      <c r="K70" s="1359">
        <f t="shared" si="1"/>
        <v>150.89124999999999</v>
      </c>
      <c r="L70" s="1359">
        <f t="shared" si="1"/>
        <v>1734.3815789473683</v>
      </c>
      <c r="M70" s="1359">
        <f t="shared" si="1"/>
        <v>4989.38393220339</v>
      </c>
      <c r="N70" s="1360">
        <f t="shared" si="1"/>
        <v>18.735761621873241</v>
      </c>
      <c r="O70" s="336"/>
      <c r="T70" s="335"/>
      <c r="AO70" t="s">
        <v>153</v>
      </c>
    </row>
    <row r="71" spans="1:41" s="69" customFormat="1" ht="15.6" customHeight="1">
      <c r="A71" s="836" t="s">
        <v>246</v>
      </c>
      <c r="B71" s="1324"/>
      <c r="C71" s="836"/>
      <c r="D71" s="836"/>
      <c r="E71" s="836"/>
      <c r="F71" s="836"/>
      <c r="G71" s="836"/>
      <c r="H71" s="836"/>
      <c r="I71" s="836"/>
      <c r="J71" s="836"/>
      <c r="K71" s="836"/>
      <c r="L71" s="836"/>
      <c r="M71" s="836"/>
      <c r="N71" s="836"/>
    </row>
    <row r="72" spans="1:41" s="69" customFormat="1" ht="13.95" customHeight="1">
      <c r="B72" s="1969"/>
      <c r="C72" s="1839"/>
      <c r="D72" s="1839"/>
      <c r="E72" s="1839"/>
      <c r="F72" s="1839"/>
      <c r="G72" s="1839"/>
      <c r="H72" s="1839"/>
      <c r="I72" s="1839"/>
      <c r="J72" s="1839"/>
      <c r="K72" s="1839"/>
      <c r="L72" s="1839"/>
      <c r="M72" s="1839"/>
      <c r="N72" s="1839"/>
    </row>
    <row r="73" spans="1:41" s="69" customFormat="1" ht="13.95" customHeight="1">
      <c r="B73" s="29"/>
      <c r="C73" s="29"/>
      <c r="D73" s="29"/>
      <c r="E73" s="29"/>
      <c r="F73" s="29"/>
      <c r="G73" s="29"/>
      <c r="H73" s="29"/>
      <c r="I73" s="29"/>
      <c r="J73" s="29"/>
      <c r="K73" s="29"/>
      <c r="L73" s="29"/>
      <c r="M73" s="29"/>
      <c r="N73" s="29"/>
    </row>
    <row r="74" spans="1:41" s="69" customFormat="1" ht="13.95" customHeight="1">
      <c r="B74" s="29"/>
      <c r="C74" s="29"/>
      <c r="D74" s="29"/>
      <c r="E74" s="29"/>
      <c r="F74" s="29"/>
      <c r="G74" s="29"/>
      <c r="H74" s="29"/>
      <c r="I74" s="29"/>
      <c r="J74" s="29"/>
      <c r="K74" s="29"/>
      <c r="L74" s="29"/>
      <c r="M74" s="29"/>
      <c r="N74" s="29"/>
    </row>
    <row r="75" spans="1:41" s="69" customFormat="1" ht="13.95" customHeight="1">
      <c r="B75" s="29"/>
      <c r="C75" s="29"/>
      <c r="D75" s="29"/>
      <c r="E75" s="29"/>
      <c r="F75" s="29"/>
      <c r="G75" s="29"/>
      <c r="H75" s="29"/>
      <c r="I75" s="29"/>
      <c r="J75" s="29"/>
      <c r="K75" s="29"/>
      <c r="L75" s="29"/>
      <c r="M75" s="29"/>
      <c r="N75" s="29"/>
    </row>
    <row r="76" spans="1:41" s="69" customFormat="1" ht="13.95" customHeight="1"/>
    <row r="77" spans="1:41" s="69" customFormat="1" ht="13.95" customHeight="1"/>
    <row r="78" spans="1:41" ht="16.5" customHeight="1">
      <c r="A78" s="95"/>
      <c r="B78" s="55"/>
      <c r="C78" s="29"/>
      <c r="D78" s="29"/>
    </row>
    <row r="79" spans="1:41" ht="15.6" customHeight="1">
      <c r="A79" s="47"/>
      <c r="B79" s="55"/>
      <c r="C79" s="1960"/>
      <c r="D79" s="1960"/>
      <c r="E79" s="1961"/>
      <c r="F79" s="1961"/>
      <c r="G79" s="1961"/>
      <c r="H79" s="1961"/>
      <c r="I79" s="1961"/>
      <c r="J79" s="1961"/>
      <c r="K79" s="1961"/>
      <c r="L79" s="1961"/>
      <c r="M79" s="1962"/>
      <c r="N79" s="1962"/>
    </row>
    <row r="80" spans="1:41">
      <c r="B80" s="69"/>
      <c r="C80" s="1962"/>
      <c r="D80" s="1962"/>
      <c r="E80" s="1962"/>
      <c r="F80" s="1962"/>
      <c r="G80" s="1962"/>
      <c r="H80" s="1962"/>
      <c r="I80" s="1962"/>
      <c r="J80" s="1962"/>
      <c r="K80" s="1962"/>
      <c r="L80" s="1962"/>
      <c r="M80" s="1962"/>
      <c r="N80" s="1962"/>
    </row>
    <row r="150" spans="1:14" ht="27" customHeight="1">
      <c r="A150" s="1959"/>
      <c r="B150" s="1959"/>
      <c r="C150" s="1959"/>
      <c r="D150" s="1959"/>
      <c r="E150" s="1959"/>
      <c r="F150" s="1959"/>
      <c r="G150" s="1959"/>
      <c r="H150" s="1959"/>
      <c r="I150" s="1959"/>
      <c r="J150" s="1959"/>
      <c r="K150" s="1959"/>
      <c r="L150" s="1959"/>
      <c r="M150" s="1959"/>
      <c r="N150" s="1959"/>
    </row>
  </sheetData>
  <customSheetViews>
    <customSheetView guid="{CFB8F6A3-286B-44DA-98E2-E06FA9DC17D9}" scale="90" showGridLines="0">
      <pane xSplit="1" ySplit="6" topLeftCell="B43" activePane="bottomRight" state="frozen"/>
      <selection pane="bottomRight" activeCell="A7" sqref="A7:A56"/>
      <pageMargins left="0" right="0" top="0" bottom="0" header="0" footer="0"/>
      <pageSetup paperSize="9" scale="80" firstPageNumber="12" orientation="portrait" useFirstPageNumber="1" r:id="rId1"/>
      <headerFooter alignWithMargins="0"/>
    </customSheetView>
    <customSheetView guid="{429188B7-F8E8-41E0-BAA6-8F869C883D4F}" showGridLines="0">
      <pane xSplit="1" ySplit="6" topLeftCell="B7" activePane="bottomRight" state="frozen"/>
      <selection pane="bottomRight" activeCell="A2" sqref="A2"/>
      <pageMargins left="0" right="0" top="0" bottom="0" header="0" footer="0"/>
      <pageSetup paperSize="8" firstPageNumber="12" orientation="portrait" r:id="rId2"/>
      <headerFooter alignWithMargins="0">
        <oddHeader xml:space="preserve">&amp;L&amp;"ＭＳ Ｐゴシック,太字"&amp;16 ４　環　境&amp;"ＭＳ Ｐゴシック,標準"&amp;11
</oddHeader>
      </headerFooter>
    </customSheetView>
  </customSheetViews>
  <mergeCells count="11">
    <mergeCell ref="A150:N150"/>
    <mergeCell ref="C79:N80"/>
    <mergeCell ref="B3:B5"/>
    <mergeCell ref="C3:C5"/>
    <mergeCell ref="E3:J3"/>
    <mergeCell ref="K3:M3"/>
    <mergeCell ref="M4:M5"/>
    <mergeCell ref="N3:N5"/>
    <mergeCell ref="E4:E5"/>
    <mergeCell ref="D3:D5"/>
    <mergeCell ref="B72:N72"/>
  </mergeCells>
  <phoneticPr fontId="2"/>
  <dataValidations count="1">
    <dataValidation imeMode="disabled" allowBlank="1" showInputMessage="1" showErrorMessage="1" sqref="B7:N68" xr:uid="{00000000-0002-0000-0500-000000000000}"/>
  </dataValidations>
  <pageMargins left="0.74803149606299213" right="0.23622047244094491" top="0.98425196850393704" bottom="0.39370078740157483" header="0.59055118110236227" footer="0.31496062992125984"/>
  <pageSetup paperSize="9" scale="70" firstPageNumber="12" orientation="portrait" r:id="rId3"/>
  <headerFooter alignWithMargins="0">
    <oddHeader xml:space="preserve">&amp;L&amp;"ＭＳ Ｐゴシック,太字"&amp;16 ４　環　境&amp;"ＭＳ Ｐゴシック,標準"&amp;11
</oddHeader>
  </headerFooter>
  <rowBreaks count="1" manualBreakCount="1">
    <brk id="76" max="1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Y131"/>
  <sheetViews>
    <sheetView showGridLines="0" view="pageBreakPreview" zoomScaleNormal="100" zoomScaleSheetLayoutView="100" workbookViewId="0">
      <pane xSplit="1" ySplit="6" topLeftCell="B7" activePane="bottomRight" state="frozen"/>
      <selection pane="topRight" activeCell="J20" sqref="J19:J20"/>
      <selection pane="bottomLeft" activeCell="J20" sqref="J19:J20"/>
      <selection pane="bottomRight" activeCell="X18" sqref="X18"/>
    </sheetView>
  </sheetViews>
  <sheetFormatPr defaultColWidth="8.88671875" defaultRowHeight="13.2"/>
  <cols>
    <col min="1" max="1" width="12.44140625" style="731" customWidth="1"/>
    <col min="2" max="2" width="8.77734375" style="731" customWidth="1"/>
    <col min="3" max="4" width="10" style="731" customWidth="1"/>
    <col min="5" max="5" width="11.6640625" style="731" customWidth="1"/>
    <col min="6" max="6" width="10.6640625" style="731" customWidth="1"/>
    <col min="7" max="7" width="7.44140625" style="731" customWidth="1"/>
    <col min="8" max="8" width="10.88671875" style="731" customWidth="1"/>
    <col min="9" max="9" width="7.44140625" style="731" customWidth="1"/>
    <col min="10" max="10" width="10.88671875" style="731" customWidth="1"/>
    <col min="11" max="11" width="7.44140625" style="731" customWidth="1"/>
    <col min="12" max="13" width="13.77734375" style="731" customWidth="1"/>
    <col min="14" max="14" width="11.21875" style="731" customWidth="1"/>
    <col min="15" max="15" width="10" style="731" customWidth="1"/>
    <col min="16" max="16" width="13.77734375" style="731" customWidth="1"/>
    <col min="17" max="17" width="12.44140625" style="731" customWidth="1"/>
    <col min="18" max="18" width="11.21875" style="731" customWidth="1"/>
    <col min="19" max="19" width="9.33203125" style="731" customWidth="1"/>
    <col min="20" max="20" width="12.44140625" style="731" customWidth="1"/>
    <col min="21" max="21" width="9.33203125" style="731" customWidth="1"/>
    <col min="22" max="22" width="1.44140625" style="731" customWidth="1"/>
    <col min="23" max="23" width="12.6640625" style="731" customWidth="1"/>
    <col min="24" max="24" width="11.109375" style="731" customWidth="1"/>
    <col min="25" max="16384" width="8.88671875" style="731"/>
  </cols>
  <sheetData>
    <row r="1" spans="1:25" ht="18.75" customHeight="1">
      <c r="A1" s="730" t="s">
        <v>394</v>
      </c>
      <c r="C1" s="732"/>
      <c r="D1" s="732"/>
      <c r="E1" s="732"/>
      <c r="F1" s="732"/>
      <c r="G1" s="732"/>
      <c r="H1" s="732"/>
      <c r="I1" s="732"/>
      <c r="J1" s="732"/>
      <c r="K1" s="732"/>
      <c r="L1" s="733"/>
      <c r="M1" s="1970"/>
      <c r="N1" s="1970"/>
      <c r="O1" s="1970"/>
      <c r="P1" s="1970"/>
      <c r="Q1" s="1970"/>
      <c r="R1" s="733"/>
      <c r="S1" s="730"/>
      <c r="T1" s="730"/>
      <c r="U1" s="730"/>
      <c r="W1" s="732"/>
      <c r="X1" s="732"/>
    </row>
    <row r="2" spans="1:25" ht="18.75" customHeight="1">
      <c r="A2" s="733"/>
      <c r="B2" s="734"/>
      <c r="C2" s="734"/>
      <c r="D2" s="734"/>
      <c r="E2" s="734"/>
      <c r="F2" s="734"/>
      <c r="G2" s="734"/>
      <c r="H2" s="734"/>
      <c r="I2" s="734"/>
      <c r="J2" s="734"/>
      <c r="K2" s="734"/>
      <c r="L2" s="735"/>
      <c r="M2" s="1971"/>
      <c r="N2" s="1971"/>
      <c r="O2" s="1971"/>
      <c r="P2" s="1971"/>
      <c r="Q2" s="1971"/>
      <c r="R2" s="735"/>
      <c r="S2" s="736"/>
      <c r="T2" s="736"/>
      <c r="U2" s="736"/>
      <c r="W2" s="732"/>
      <c r="X2" s="732"/>
    </row>
    <row r="3" spans="1:25" s="741" customFormat="1" ht="17.25" customHeight="1">
      <c r="A3" s="737" t="s">
        <v>395</v>
      </c>
      <c r="B3" s="1978" t="s">
        <v>47</v>
      </c>
      <c r="C3" s="1979"/>
      <c r="D3" s="1980"/>
      <c r="E3" s="738" t="s">
        <v>396</v>
      </c>
      <c r="F3" s="739"/>
      <c r="G3" s="739"/>
      <c r="H3" s="739"/>
      <c r="I3" s="739"/>
      <c r="J3" s="740"/>
      <c r="K3" s="740"/>
      <c r="L3" s="1972" t="s">
        <v>397</v>
      </c>
      <c r="M3" s="1973"/>
      <c r="N3" s="2000" t="s">
        <v>398</v>
      </c>
      <c r="O3" s="2001"/>
      <c r="P3" s="2001"/>
      <c r="Q3" s="2002"/>
      <c r="R3" s="2000" t="s">
        <v>399</v>
      </c>
      <c r="S3" s="2001"/>
      <c r="T3" s="2001"/>
      <c r="U3" s="2002"/>
      <c r="W3" s="1995" t="s">
        <v>400</v>
      </c>
      <c r="X3" s="1996"/>
    </row>
    <row r="4" spans="1:25" ht="17.25" customHeight="1">
      <c r="A4" s="742"/>
      <c r="B4" s="1987" t="s">
        <v>401</v>
      </c>
      <c r="C4" s="1988"/>
      <c r="D4" s="1989"/>
      <c r="E4" s="743"/>
      <c r="F4" s="1985" t="s">
        <v>402</v>
      </c>
      <c r="G4" s="1986"/>
      <c r="H4" s="1985" t="s">
        <v>403</v>
      </c>
      <c r="I4" s="1986"/>
      <c r="J4" s="1981" t="s">
        <v>404</v>
      </c>
      <c r="K4" s="1982"/>
      <c r="L4" s="1993" t="s">
        <v>405</v>
      </c>
      <c r="M4" s="1974" t="s">
        <v>406</v>
      </c>
      <c r="N4" s="1983" t="s">
        <v>407</v>
      </c>
      <c r="O4" s="1984"/>
      <c r="P4" s="1976" t="s">
        <v>408</v>
      </c>
      <c r="Q4" s="1977"/>
      <c r="R4" s="1983" t="s">
        <v>407</v>
      </c>
      <c r="S4" s="1999"/>
      <c r="T4" s="1976" t="s">
        <v>409</v>
      </c>
      <c r="U4" s="1977"/>
      <c r="W4" s="1991" t="s">
        <v>410</v>
      </c>
      <c r="X4" s="1997" t="s">
        <v>411</v>
      </c>
    </row>
    <row r="5" spans="1:25" ht="17.25" customHeight="1">
      <c r="A5" s="744"/>
      <c r="B5" s="745" t="s">
        <v>412</v>
      </c>
      <c r="C5" s="746" t="s">
        <v>413</v>
      </c>
      <c r="D5" s="747" t="s">
        <v>414</v>
      </c>
      <c r="E5" s="748"/>
      <c r="F5" s="1627"/>
      <c r="G5" s="746" t="s">
        <v>415</v>
      </c>
      <c r="H5" s="749"/>
      <c r="I5" s="746" t="s">
        <v>415</v>
      </c>
      <c r="J5" s="750"/>
      <c r="K5" s="751" t="s">
        <v>415</v>
      </c>
      <c r="L5" s="1994"/>
      <c r="M5" s="1975"/>
      <c r="N5" s="752"/>
      <c r="O5" s="489" t="s">
        <v>416</v>
      </c>
      <c r="P5" s="753"/>
      <c r="Q5" s="754" t="s">
        <v>417</v>
      </c>
      <c r="R5" s="755"/>
      <c r="S5" s="489" t="s">
        <v>416</v>
      </c>
      <c r="T5" s="756"/>
      <c r="U5" s="489" t="s">
        <v>418</v>
      </c>
      <c r="V5" s="757"/>
      <c r="W5" s="1992"/>
      <c r="X5" s="1998"/>
    </row>
    <row r="6" spans="1:25" ht="17.25" customHeight="1">
      <c r="A6" s="758" t="s">
        <v>419</v>
      </c>
      <c r="B6" s="759" t="s">
        <v>420</v>
      </c>
      <c r="C6" s="760" t="s">
        <v>420</v>
      </c>
      <c r="D6" s="760" t="s">
        <v>420</v>
      </c>
      <c r="E6" s="760" t="s">
        <v>135</v>
      </c>
      <c r="F6" s="760" t="s">
        <v>135</v>
      </c>
      <c r="G6" s="760" t="s">
        <v>139</v>
      </c>
      <c r="H6" s="760" t="s">
        <v>135</v>
      </c>
      <c r="I6" s="760" t="s">
        <v>139</v>
      </c>
      <c r="J6" s="761" t="s">
        <v>135</v>
      </c>
      <c r="K6" s="761" t="s">
        <v>139</v>
      </c>
      <c r="L6" s="760" t="s">
        <v>421</v>
      </c>
      <c r="M6" s="762" t="s">
        <v>422</v>
      </c>
      <c r="N6" s="759" t="s">
        <v>423</v>
      </c>
      <c r="O6" s="761" t="s">
        <v>139</v>
      </c>
      <c r="P6" s="760" t="s">
        <v>424</v>
      </c>
      <c r="Q6" s="763" t="s">
        <v>424</v>
      </c>
      <c r="R6" s="759" t="s">
        <v>420</v>
      </c>
      <c r="S6" s="760" t="s">
        <v>139</v>
      </c>
      <c r="T6" s="760" t="s">
        <v>424</v>
      </c>
      <c r="U6" s="764" t="s">
        <v>425</v>
      </c>
      <c r="V6" s="765"/>
      <c r="W6" s="759" t="s">
        <v>357</v>
      </c>
      <c r="X6" s="763" t="s">
        <v>426</v>
      </c>
    </row>
    <row r="7" spans="1:25" s="593" customFormat="1" ht="15.75" customHeight="1">
      <c r="A7" s="766" t="s">
        <v>147</v>
      </c>
      <c r="B7" s="767">
        <v>50</v>
      </c>
      <c r="C7" s="768">
        <v>1593</v>
      </c>
      <c r="D7" s="768">
        <v>9719</v>
      </c>
      <c r="E7" s="768">
        <v>105260</v>
      </c>
      <c r="F7" s="768">
        <v>520</v>
      </c>
      <c r="G7" s="769">
        <v>0.5</v>
      </c>
      <c r="H7" s="768">
        <v>16640</v>
      </c>
      <c r="I7" s="769">
        <v>15.8</v>
      </c>
      <c r="J7" s="768">
        <v>88100</v>
      </c>
      <c r="K7" s="770">
        <v>83.7</v>
      </c>
      <c r="L7" s="768">
        <v>1098</v>
      </c>
      <c r="M7" s="771">
        <v>157</v>
      </c>
      <c r="N7" s="767">
        <v>242</v>
      </c>
      <c r="O7" s="582" t="s">
        <v>148</v>
      </c>
      <c r="P7" s="772">
        <v>180625</v>
      </c>
      <c r="Q7" s="773">
        <v>746</v>
      </c>
      <c r="R7" s="774">
        <v>2448</v>
      </c>
      <c r="S7" s="775">
        <v>-14.9</v>
      </c>
      <c r="T7" s="776">
        <v>633405</v>
      </c>
      <c r="U7" s="777">
        <v>259</v>
      </c>
      <c r="V7" s="778"/>
      <c r="W7" s="767">
        <v>4547400</v>
      </c>
      <c r="X7" s="777">
        <v>10504</v>
      </c>
    </row>
    <row r="8" spans="1:25" s="593" customFormat="1" ht="15.75" customHeight="1">
      <c r="A8" s="779" t="s">
        <v>149</v>
      </c>
      <c r="B8" s="604">
        <v>98</v>
      </c>
      <c r="C8" s="600">
        <v>2041</v>
      </c>
      <c r="D8" s="600">
        <v>11877</v>
      </c>
      <c r="E8" s="600">
        <v>140107</v>
      </c>
      <c r="F8" s="600">
        <v>1066</v>
      </c>
      <c r="G8" s="603">
        <v>0.8</v>
      </c>
      <c r="H8" s="600">
        <v>22603</v>
      </c>
      <c r="I8" s="603">
        <v>16.100000000000001</v>
      </c>
      <c r="J8" s="1628">
        <v>116438</v>
      </c>
      <c r="K8" s="1629">
        <v>83.1</v>
      </c>
      <c r="L8" s="600">
        <v>11596</v>
      </c>
      <c r="M8" s="780">
        <v>902</v>
      </c>
      <c r="N8" s="604">
        <v>326</v>
      </c>
      <c r="O8" s="605" t="s">
        <v>153</v>
      </c>
      <c r="P8" s="1628">
        <v>216068</v>
      </c>
      <c r="Q8" s="1630">
        <v>663</v>
      </c>
      <c r="R8" s="515">
        <v>2895</v>
      </c>
      <c r="S8" s="602">
        <v>-6.6</v>
      </c>
      <c r="T8" s="601">
        <v>1154161</v>
      </c>
      <c r="U8" s="1631">
        <v>399</v>
      </c>
      <c r="W8" s="604">
        <v>4135300</v>
      </c>
      <c r="X8" s="1631">
        <v>5316</v>
      </c>
      <c r="Y8" s="781"/>
    </row>
    <row r="9" spans="1:25" s="593" customFormat="1" ht="15.75" customHeight="1">
      <c r="A9" s="766" t="s">
        <v>150</v>
      </c>
      <c r="B9" s="583">
        <v>43</v>
      </c>
      <c r="C9" s="585">
        <v>1537</v>
      </c>
      <c r="D9" s="585">
        <v>10850</v>
      </c>
      <c r="E9" s="585">
        <v>115343</v>
      </c>
      <c r="F9" s="585">
        <v>401</v>
      </c>
      <c r="G9" s="584">
        <v>0.4</v>
      </c>
      <c r="H9" s="585">
        <v>16752</v>
      </c>
      <c r="I9" s="584">
        <v>14.5</v>
      </c>
      <c r="J9" s="1632">
        <v>98190</v>
      </c>
      <c r="K9" s="1633">
        <v>85.1</v>
      </c>
      <c r="L9" s="585">
        <v>4580</v>
      </c>
      <c r="M9" s="782">
        <v>1470</v>
      </c>
      <c r="N9" s="583">
        <v>166</v>
      </c>
      <c r="O9" s="783" t="s">
        <v>148</v>
      </c>
      <c r="P9" s="1632">
        <v>100413</v>
      </c>
      <c r="Q9" s="1634">
        <v>604.89759036144574</v>
      </c>
      <c r="R9" s="583">
        <v>2800</v>
      </c>
      <c r="S9" s="584">
        <v>-6.2918340026773762</v>
      </c>
      <c r="T9" s="585">
        <v>971359</v>
      </c>
      <c r="U9" s="1634">
        <v>346</v>
      </c>
      <c r="W9" s="784">
        <v>5746722</v>
      </c>
      <c r="X9" s="1634">
        <v>4807</v>
      </c>
      <c r="Y9" s="781"/>
    </row>
    <row r="10" spans="1:25" s="593" customFormat="1" ht="15.75" customHeight="1">
      <c r="A10" s="779" t="s">
        <v>152</v>
      </c>
      <c r="B10" s="594">
        <v>72</v>
      </c>
      <c r="C10" s="595">
        <v>1525</v>
      </c>
      <c r="D10" s="595">
        <v>8885</v>
      </c>
      <c r="E10" s="595">
        <f>F10+H10+J10</f>
        <v>105095</v>
      </c>
      <c r="F10" s="595">
        <v>1207</v>
      </c>
      <c r="G10" s="596">
        <f>F10/E10*100</f>
        <v>1.1484847043151436</v>
      </c>
      <c r="H10" s="595">
        <v>23898</v>
      </c>
      <c r="I10" s="596">
        <f>H10/E10*100</f>
        <v>22.739426233407869</v>
      </c>
      <c r="J10" s="1635">
        <v>79990</v>
      </c>
      <c r="K10" s="1636">
        <f>J10/E10*100</f>
        <v>76.112089062276993</v>
      </c>
      <c r="L10" s="785">
        <v>1973</v>
      </c>
      <c r="M10" s="597">
        <v>1173</v>
      </c>
      <c r="N10" s="594">
        <v>322</v>
      </c>
      <c r="O10" s="786" t="s">
        <v>153</v>
      </c>
      <c r="P10" s="1635">
        <v>523208</v>
      </c>
      <c r="Q10" s="1637">
        <f>P10/N10</f>
        <v>1624.8695652173913</v>
      </c>
      <c r="R10" s="587">
        <v>2354</v>
      </c>
      <c r="S10" s="588">
        <f>(R10-2587)/2587*100</f>
        <v>-9.0065713181291063</v>
      </c>
      <c r="T10" s="589">
        <v>734774</v>
      </c>
      <c r="U10" s="1638">
        <f>T10/R10</f>
        <v>312.13848768054373</v>
      </c>
      <c r="W10" s="587">
        <v>5036390</v>
      </c>
      <c r="X10" s="1638">
        <v>3591</v>
      </c>
      <c r="Y10" s="781"/>
    </row>
    <row r="11" spans="1:25" s="593" customFormat="1" ht="15.75" customHeight="1">
      <c r="A11" s="766" t="s">
        <v>154</v>
      </c>
      <c r="B11" s="576">
        <v>73</v>
      </c>
      <c r="C11" s="577">
        <v>1506</v>
      </c>
      <c r="D11" s="1639">
        <v>12610</v>
      </c>
      <c r="E11" s="578">
        <v>141204</v>
      </c>
      <c r="F11" s="578">
        <v>1054</v>
      </c>
      <c r="G11" s="579">
        <v>0.7</v>
      </c>
      <c r="H11" s="578">
        <v>16886</v>
      </c>
      <c r="I11" s="579">
        <v>12</v>
      </c>
      <c r="J11" s="1640">
        <v>123264</v>
      </c>
      <c r="K11" s="1641">
        <v>87.3</v>
      </c>
      <c r="L11" s="578">
        <v>6854</v>
      </c>
      <c r="M11" s="580">
        <v>2212</v>
      </c>
      <c r="N11" s="581">
        <v>146</v>
      </c>
      <c r="O11" s="582" t="s">
        <v>153</v>
      </c>
      <c r="P11" s="1640">
        <v>110407</v>
      </c>
      <c r="Q11" s="1642">
        <v>756</v>
      </c>
      <c r="R11" s="583">
        <v>3068</v>
      </c>
      <c r="S11" s="584">
        <v>-6.1</v>
      </c>
      <c r="T11" s="585">
        <v>1177885</v>
      </c>
      <c r="U11" s="1634">
        <v>384</v>
      </c>
      <c r="V11" s="787"/>
      <c r="W11" s="586">
        <v>3697141</v>
      </c>
      <c r="X11" s="1643">
        <v>5698</v>
      </c>
      <c r="Y11" s="788"/>
    </row>
    <row r="12" spans="1:25" s="593" customFormat="1" ht="15.75" customHeight="1">
      <c r="A12" s="779" t="s">
        <v>155</v>
      </c>
      <c r="B12" s="789">
        <v>80</v>
      </c>
      <c r="C12" s="790">
        <v>1866</v>
      </c>
      <c r="D12" s="1644">
        <v>12247</v>
      </c>
      <c r="E12" s="791">
        <v>147035</v>
      </c>
      <c r="F12" s="791">
        <v>879</v>
      </c>
      <c r="G12" s="792">
        <v>0.6</v>
      </c>
      <c r="H12" s="791">
        <v>21250</v>
      </c>
      <c r="I12" s="792">
        <v>14.452341279287245</v>
      </c>
      <c r="J12" s="1645">
        <v>124906</v>
      </c>
      <c r="K12" s="1646">
        <v>84.949841874383651</v>
      </c>
      <c r="L12" s="791">
        <v>6378</v>
      </c>
      <c r="M12" s="793">
        <v>1998</v>
      </c>
      <c r="N12" s="794">
        <v>252</v>
      </c>
      <c r="O12" s="786" t="s">
        <v>153</v>
      </c>
      <c r="P12" s="1645">
        <v>263666</v>
      </c>
      <c r="Q12" s="1647">
        <v>1046</v>
      </c>
      <c r="R12" s="587">
        <v>3068</v>
      </c>
      <c r="S12" s="588">
        <v>-8.4</v>
      </c>
      <c r="T12" s="589">
        <v>1104968</v>
      </c>
      <c r="U12" s="1638">
        <v>360</v>
      </c>
      <c r="V12" s="550"/>
      <c r="W12" s="563">
        <v>4827710</v>
      </c>
      <c r="X12" s="1648">
        <v>4819</v>
      </c>
      <c r="Y12" s="788"/>
    </row>
    <row r="13" spans="1:25" s="593" customFormat="1" ht="15.75" customHeight="1">
      <c r="A13" s="795" t="s">
        <v>156</v>
      </c>
      <c r="B13" s="554">
        <v>60</v>
      </c>
      <c r="C13" s="555">
        <v>1828</v>
      </c>
      <c r="D13" s="1649">
        <v>10666</v>
      </c>
      <c r="E13" s="585">
        <f>F13+H13+J13</f>
        <v>127658</v>
      </c>
      <c r="F13" s="585">
        <v>612</v>
      </c>
      <c r="G13" s="584">
        <f>100*F13/E13</f>
        <v>0.47940591267292298</v>
      </c>
      <c r="H13" s="585">
        <v>21213</v>
      </c>
      <c r="I13" s="584">
        <f>100*H13/E13</f>
        <v>16.61705494367764</v>
      </c>
      <c r="J13" s="1632">
        <v>105833</v>
      </c>
      <c r="K13" s="1633">
        <f>100*J13/E13</f>
        <v>82.903539143649439</v>
      </c>
      <c r="L13" s="585">
        <v>4120.7</v>
      </c>
      <c r="M13" s="782">
        <v>1805</v>
      </c>
      <c r="N13" s="583">
        <v>305</v>
      </c>
      <c r="O13" s="783" t="s">
        <v>153</v>
      </c>
      <c r="P13" s="1632">
        <v>294283</v>
      </c>
      <c r="Q13" s="1634">
        <f>P13/N13</f>
        <v>964.8622950819672</v>
      </c>
      <c r="R13" s="583">
        <v>2693</v>
      </c>
      <c r="S13" s="584">
        <f>100*(R13-2866)/2866</f>
        <v>-6.0362875087229586</v>
      </c>
      <c r="T13" s="585">
        <v>1010884</v>
      </c>
      <c r="U13" s="1634">
        <f>T13/R13</f>
        <v>375.37467508354996</v>
      </c>
      <c r="V13" s="550"/>
      <c r="W13" s="553">
        <v>2119450</v>
      </c>
      <c r="X13" s="1643">
        <v>5036</v>
      </c>
      <c r="Y13" s="788"/>
    </row>
    <row r="14" spans="1:25" s="593" customFormat="1" ht="15.75" customHeight="1">
      <c r="A14" s="779" t="s">
        <v>157</v>
      </c>
      <c r="B14" s="570">
        <v>50</v>
      </c>
      <c r="C14" s="570">
        <v>1772</v>
      </c>
      <c r="D14" s="570">
        <v>10104</v>
      </c>
      <c r="E14" s="570">
        <v>126192</v>
      </c>
      <c r="F14" s="570">
        <v>620</v>
      </c>
      <c r="G14" s="828">
        <v>0.49131482185875502</v>
      </c>
      <c r="H14" s="570">
        <v>27975</v>
      </c>
      <c r="I14" s="828">
        <v>22.16860022822366</v>
      </c>
      <c r="J14" s="570">
        <v>97597</v>
      </c>
      <c r="K14" s="828">
        <v>77.340084949917582</v>
      </c>
      <c r="L14" s="571">
        <v>4737</v>
      </c>
      <c r="M14" s="572">
        <v>3236</v>
      </c>
      <c r="N14" s="570">
        <v>305</v>
      </c>
      <c r="O14" s="573" t="s">
        <v>153</v>
      </c>
      <c r="P14" s="570">
        <v>445466</v>
      </c>
      <c r="Q14" s="1650">
        <v>1460.544262295082</v>
      </c>
      <c r="R14" s="574">
        <v>2519</v>
      </c>
      <c r="S14" s="828">
        <v>-23.3</v>
      </c>
      <c r="T14" s="570">
        <v>785229</v>
      </c>
      <c r="U14" s="570">
        <v>312</v>
      </c>
      <c r="V14" s="709"/>
      <c r="W14" s="575">
        <v>7506991</v>
      </c>
      <c r="X14" s="1651">
        <v>5667</v>
      </c>
      <c r="Y14" s="781"/>
    </row>
    <row r="15" spans="1:25" s="593" customFormat="1" ht="15.75" customHeight="1">
      <c r="A15" s="795" t="s">
        <v>158</v>
      </c>
      <c r="B15" s="576">
        <v>72</v>
      </c>
      <c r="C15" s="577">
        <v>2560</v>
      </c>
      <c r="D15" s="1639">
        <v>12635</v>
      </c>
      <c r="E15" s="578">
        <v>168675</v>
      </c>
      <c r="F15" s="578">
        <v>796</v>
      </c>
      <c r="G15" s="584">
        <v>0.5</v>
      </c>
      <c r="H15" s="578">
        <v>35401</v>
      </c>
      <c r="I15" s="584">
        <v>21</v>
      </c>
      <c r="J15" s="1632">
        <v>132478</v>
      </c>
      <c r="K15" s="1633">
        <v>78.5</v>
      </c>
      <c r="L15" s="578">
        <v>9097</v>
      </c>
      <c r="M15" s="580">
        <v>3663</v>
      </c>
      <c r="N15" s="581">
        <v>393</v>
      </c>
      <c r="O15" s="582" t="s">
        <v>153</v>
      </c>
      <c r="P15" s="1640">
        <v>646687</v>
      </c>
      <c r="Q15" s="1642">
        <v>1646</v>
      </c>
      <c r="R15" s="583">
        <v>3092</v>
      </c>
      <c r="S15" s="584">
        <v>-8.1</v>
      </c>
      <c r="T15" s="585">
        <v>1401370</v>
      </c>
      <c r="U15" s="1634">
        <v>453</v>
      </c>
      <c r="V15" s="787"/>
      <c r="W15" s="586">
        <v>3032967</v>
      </c>
      <c r="X15" s="1643">
        <v>5818</v>
      </c>
      <c r="Y15" s="788"/>
    </row>
    <row r="16" spans="1:25" s="593" customFormat="1" ht="15.75" customHeight="1">
      <c r="A16" s="779" t="s">
        <v>160</v>
      </c>
      <c r="B16" s="627">
        <v>110</v>
      </c>
      <c r="C16" s="628">
        <v>2724</v>
      </c>
      <c r="D16" s="1652">
        <v>11034</v>
      </c>
      <c r="E16" s="589">
        <v>143648</v>
      </c>
      <c r="F16" s="589">
        <v>1699</v>
      </c>
      <c r="G16" s="588">
        <v>1.2</v>
      </c>
      <c r="H16" s="589">
        <v>43070</v>
      </c>
      <c r="I16" s="588">
        <v>30</v>
      </c>
      <c r="J16" s="1653">
        <v>98879</v>
      </c>
      <c r="K16" s="1654">
        <v>68.8</v>
      </c>
      <c r="L16" s="589">
        <v>4569</v>
      </c>
      <c r="M16" s="572">
        <v>3211</v>
      </c>
      <c r="N16" s="587">
        <v>552</v>
      </c>
      <c r="O16" s="786" t="s">
        <v>148</v>
      </c>
      <c r="P16" s="1653">
        <v>885340</v>
      </c>
      <c r="Q16" s="1638">
        <v>1604</v>
      </c>
      <c r="R16" s="587">
        <v>3423</v>
      </c>
      <c r="S16" s="588">
        <v>-7.6</v>
      </c>
      <c r="T16" s="589">
        <v>849436</v>
      </c>
      <c r="U16" s="1638">
        <v>248</v>
      </c>
      <c r="V16" s="550"/>
      <c r="W16" s="563">
        <v>5462975</v>
      </c>
      <c r="X16" s="1648">
        <v>6770</v>
      </c>
      <c r="Y16" s="788"/>
    </row>
    <row r="17" spans="1:25" s="593" customFormat="1" ht="15.75" customHeight="1">
      <c r="A17" s="795" t="s">
        <v>162</v>
      </c>
      <c r="B17" s="576">
        <v>36</v>
      </c>
      <c r="C17" s="577">
        <v>1603</v>
      </c>
      <c r="D17" s="1639">
        <v>10803</v>
      </c>
      <c r="E17" s="578">
        <v>144093</v>
      </c>
      <c r="F17" s="578">
        <v>439</v>
      </c>
      <c r="G17" s="579">
        <v>0.3</v>
      </c>
      <c r="H17" s="578">
        <v>17030</v>
      </c>
      <c r="I17" s="579">
        <v>11.8</v>
      </c>
      <c r="J17" s="1640">
        <v>126624</v>
      </c>
      <c r="K17" s="1641">
        <v>87.9</v>
      </c>
      <c r="L17" s="578">
        <v>3719</v>
      </c>
      <c r="M17" s="580">
        <v>2129</v>
      </c>
      <c r="N17" s="581">
        <v>298</v>
      </c>
      <c r="O17" s="582" t="s">
        <v>153</v>
      </c>
      <c r="P17" s="1640">
        <v>123337</v>
      </c>
      <c r="Q17" s="1642">
        <v>413.8</v>
      </c>
      <c r="R17" s="583">
        <v>2717</v>
      </c>
      <c r="S17" s="584">
        <v>-4.8</v>
      </c>
      <c r="T17" s="585">
        <v>1568693</v>
      </c>
      <c r="U17" s="1634">
        <v>577.29999999999995</v>
      </c>
      <c r="V17" s="550"/>
      <c r="W17" s="586">
        <v>2044800</v>
      </c>
      <c r="X17" s="1643">
        <v>4237</v>
      </c>
      <c r="Y17" s="788"/>
    </row>
    <row r="18" spans="1:25" s="593" customFormat="1" ht="15.75" customHeight="1">
      <c r="A18" s="779" t="s">
        <v>164</v>
      </c>
      <c r="B18" s="627">
        <v>99</v>
      </c>
      <c r="C18" s="628">
        <v>3119</v>
      </c>
      <c r="D18" s="1652">
        <v>17735</v>
      </c>
      <c r="E18" s="589">
        <v>241786</v>
      </c>
      <c r="F18" s="589">
        <v>1158</v>
      </c>
      <c r="G18" s="588">
        <v>0.47893591853953493</v>
      </c>
      <c r="H18" s="589">
        <v>48760</v>
      </c>
      <c r="I18" s="588">
        <v>20.166593599298555</v>
      </c>
      <c r="J18" s="1653">
        <v>191868</v>
      </c>
      <c r="K18" s="1654">
        <v>79.354470482161915</v>
      </c>
      <c r="L18" s="589">
        <v>9472</v>
      </c>
      <c r="M18" s="572">
        <v>3332</v>
      </c>
      <c r="N18" s="587">
        <v>511</v>
      </c>
      <c r="O18" s="786" t="s">
        <v>153</v>
      </c>
      <c r="P18" s="1653">
        <v>1839945</v>
      </c>
      <c r="Q18" s="1638">
        <v>3600.6751467710374</v>
      </c>
      <c r="R18" s="587">
        <v>4355</v>
      </c>
      <c r="S18" s="588">
        <v>-9.157279933249896</v>
      </c>
      <c r="T18" s="589">
        <v>2424044</v>
      </c>
      <c r="U18" s="1638">
        <v>556.61171067738235</v>
      </c>
      <c r="V18" s="550"/>
      <c r="W18" s="563">
        <v>10787502</v>
      </c>
      <c r="X18" s="1648">
        <v>6969</v>
      </c>
      <c r="Y18" s="788"/>
    </row>
    <row r="19" spans="1:25" s="593" customFormat="1" ht="15.75" customHeight="1">
      <c r="A19" s="795" t="s">
        <v>166</v>
      </c>
      <c r="B19" s="576">
        <v>183</v>
      </c>
      <c r="C19" s="577">
        <v>2580</v>
      </c>
      <c r="D19" s="1639">
        <v>12150</v>
      </c>
      <c r="E19" s="578">
        <v>162431</v>
      </c>
      <c r="F19" s="578">
        <v>2605</v>
      </c>
      <c r="G19" s="579">
        <v>1.6</v>
      </c>
      <c r="H19" s="578">
        <v>32817</v>
      </c>
      <c r="I19" s="579">
        <v>20.2</v>
      </c>
      <c r="J19" s="1640">
        <v>127009</v>
      </c>
      <c r="K19" s="1641">
        <v>78.2</v>
      </c>
      <c r="L19" s="578">
        <v>5278.14</v>
      </c>
      <c r="M19" s="580">
        <v>2953</v>
      </c>
      <c r="N19" s="581">
        <v>440</v>
      </c>
      <c r="O19" s="582" t="s">
        <v>153</v>
      </c>
      <c r="P19" s="1640">
        <v>484893.54</v>
      </c>
      <c r="Q19" s="1642">
        <v>1102.03</v>
      </c>
      <c r="R19" s="583">
        <v>2932</v>
      </c>
      <c r="S19" s="584">
        <v>-10.220000000000001</v>
      </c>
      <c r="T19" s="585">
        <v>1107625</v>
      </c>
      <c r="U19" s="1634">
        <v>377.8</v>
      </c>
      <c r="V19" s="550"/>
      <c r="W19" s="586">
        <v>6341788</v>
      </c>
      <c r="X19" s="1643">
        <v>2587</v>
      </c>
      <c r="Y19" s="788"/>
    </row>
    <row r="20" spans="1:25" s="593" customFormat="1" ht="15.75" customHeight="1">
      <c r="A20" s="779" t="s">
        <v>167</v>
      </c>
      <c r="B20" s="627">
        <v>80</v>
      </c>
      <c r="C20" s="628">
        <v>2980</v>
      </c>
      <c r="D20" s="1652">
        <v>13722</v>
      </c>
      <c r="E20" s="589">
        <v>184300</v>
      </c>
      <c r="F20" s="589">
        <v>890</v>
      </c>
      <c r="G20" s="588">
        <v>0.5</v>
      </c>
      <c r="H20" s="589">
        <v>43333</v>
      </c>
      <c r="I20" s="588">
        <v>23.5</v>
      </c>
      <c r="J20" s="1653">
        <v>140077</v>
      </c>
      <c r="K20" s="1654">
        <v>76</v>
      </c>
      <c r="L20" s="589">
        <v>2975</v>
      </c>
      <c r="M20" s="572">
        <v>2574</v>
      </c>
      <c r="N20" s="587">
        <v>603</v>
      </c>
      <c r="O20" s="573" t="s">
        <v>153</v>
      </c>
      <c r="P20" s="1653">
        <v>87229</v>
      </c>
      <c r="Q20" s="1638">
        <v>145</v>
      </c>
      <c r="R20" s="587">
        <v>3504</v>
      </c>
      <c r="S20" s="588">
        <v>-6</v>
      </c>
      <c r="T20" s="589">
        <v>1638268</v>
      </c>
      <c r="U20" s="1638">
        <v>468</v>
      </c>
      <c r="V20" s="550"/>
      <c r="W20" s="563">
        <v>5455820</v>
      </c>
      <c r="X20" s="1648">
        <v>3891</v>
      </c>
      <c r="Y20" s="788"/>
    </row>
    <row r="21" spans="1:25" s="593" customFormat="1" ht="15.75" customHeight="1">
      <c r="A21" s="795" t="s">
        <v>173</v>
      </c>
      <c r="B21" s="576">
        <v>18</v>
      </c>
      <c r="C21" s="577">
        <v>2092</v>
      </c>
      <c r="D21" s="1639">
        <v>8835</v>
      </c>
      <c r="E21" s="578">
        <v>141957</v>
      </c>
      <c r="F21" s="578">
        <v>233</v>
      </c>
      <c r="G21" s="579">
        <v>0.2</v>
      </c>
      <c r="H21" s="578">
        <v>30291</v>
      </c>
      <c r="I21" s="579">
        <v>21.3</v>
      </c>
      <c r="J21" s="1640">
        <v>111433</v>
      </c>
      <c r="K21" s="1641">
        <v>78.5</v>
      </c>
      <c r="L21" s="578">
        <v>1976</v>
      </c>
      <c r="M21" s="580">
        <v>1259</v>
      </c>
      <c r="N21" s="581">
        <v>459</v>
      </c>
      <c r="O21" s="582" t="s">
        <v>153</v>
      </c>
      <c r="P21" s="1640">
        <v>830289</v>
      </c>
      <c r="Q21" s="1642">
        <v>1808.9084967320262</v>
      </c>
      <c r="R21" s="583">
        <v>2081</v>
      </c>
      <c r="S21" s="584">
        <v>-4.6287809349220901E-2</v>
      </c>
      <c r="T21" s="585">
        <v>736297</v>
      </c>
      <c r="U21" s="1634">
        <v>353.81883709754925</v>
      </c>
      <c r="V21" s="550"/>
      <c r="W21" s="586">
        <v>5608000</v>
      </c>
      <c r="X21" s="1643">
        <v>1455</v>
      </c>
      <c r="Y21" s="788"/>
    </row>
    <row r="22" spans="1:25" s="593" customFormat="1" ht="15.75" customHeight="1">
      <c r="A22" s="779" t="s">
        <v>267</v>
      </c>
      <c r="B22" s="587">
        <v>48</v>
      </c>
      <c r="C22" s="589">
        <v>5627</v>
      </c>
      <c r="D22" s="589">
        <v>13384</v>
      </c>
      <c r="E22" s="589">
        <v>179305</v>
      </c>
      <c r="F22" s="589">
        <v>337</v>
      </c>
      <c r="G22" s="588">
        <f>F22/E22*100</f>
        <v>0.18794790998577843</v>
      </c>
      <c r="H22" s="589">
        <v>46660</v>
      </c>
      <c r="I22" s="588">
        <f>H22/E22*100</f>
        <v>26.02269875352054</v>
      </c>
      <c r="J22" s="1653">
        <v>132308</v>
      </c>
      <c r="K22" s="1654">
        <f>J22/E22*100</f>
        <v>73.789353336493676</v>
      </c>
      <c r="L22" s="589">
        <v>389</v>
      </c>
      <c r="M22" s="572">
        <v>387</v>
      </c>
      <c r="N22" s="587">
        <v>1139</v>
      </c>
      <c r="O22" s="573" t="s">
        <v>153</v>
      </c>
      <c r="P22" s="1653">
        <v>465740</v>
      </c>
      <c r="Q22" s="1638">
        <f>P22/N22</f>
        <v>408.90254609306407</v>
      </c>
      <c r="R22" s="587">
        <v>2924</v>
      </c>
      <c r="S22" s="588">
        <f>$R$22/3388*100-100</f>
        <v>-13.695395513577338</v>
      </c>
      <c r="T22" s="589">
        <v>1015680</v>
      </c>
      <c r="U22" s="1638">
        <f>T22/R22</f>
        <v>347.35978112175104</v>
      </c>
      <c r="W22" s="846">
        <v>2071386</v>
      </c>
      <c r="X22" s="1651">
        <v>1271</v>
      </c>
    </row>
    <row r="23" spans="1:25" s="593" customFormat="1" ht="15.75" customHeight="1">
      <c r="A23" s="795" t="s">
        <v>178</v>
      </c>
      <c r="B23" s="581">
        <v>18</v>
      </c>
      <c r="C23" s="578">
        <v>1903</v>
      </c>
      <c r="D23" s="578">
        <v>8658</v>
      </c>
      <c r="E23" s="578">
        <v>112120</v>
      </c>
      <c r="F23" s="578">
        <v>104</v>
      </c>
      <c r="G23" s="579">
        <v>0.1</v>
      </c>
      <c r="H23" s="578">
        <v>19587</v>
      </c>
      <c r="I23" s="579">
        <v>17.5</v>
      </c>
      <c r="J23" s="1640">
        <v>92429</v>
      </c>
      <c r="K23" s="1641">
        <v>82.4</v>
      </c>
      <c r="L23" s="578">
        <v>674.3</v>
      </c>
      <c r="M23" s="580">
        <v>417</v>
      </c>
      <c r="N23" s="581">
        <v>368</v>
      </c>
      <c r="O23" s="582" t="s">
        <v>153</v>
      </c>
      <c r="P23" s="1640">
        <v>225036</v>
      </c>
      <c r="Q23" s="1642">
        <v>611</v>
      </c>
      <c r="R23" s="583">
        <v>2180</v>
      </c>
      <c r="S23" s="584">
        <v>-9.0500000000000007</v>
      </c>
      <c r="T23" s="585">
        <v>778909</v>
      </c>
      <c r="U23" s="1634">
        <v>357</v>
      </c>
      <c r="W23" s="581">
        <v>48743542</v>
      </c>
      <c r="X23" s="1634">
        <v>353</v>
      </c>
    </row>
    <row r="24" spans="1:25" s="593" customFormat="1" ht="15.75" customHeight="1">
      <c r="A24" s="779" t="s">
        <v>179</v>
      </c>
      <c r="B24" s="594">
        <v>36</v>
      </c>
      <c r="C24" s="595">
        <v>2066</v>
      </c>
      <c r="D24" s="595">
        <v>13446</v>
      </c>
      <c r="E24" s="595">
        <v>202602</v>
      </c>
      <c r="F24" s="595">
        <v>223</v>
      </c>
      <c r="G24" s="596">
        <v>0.1</v>
      </c>
      <c r="H24" s="595">
        <v>29084</v>
      </c>
      <c r="I24" s="596">
        <v>14.4</v>
      </c>
      <c r="J24" s="1635">
        <v>173295</v>
      </c>
      <c r="K24" s="1636">
        <v>85.5</v>
      </c>
      <c r="L24" s="595">
        <v>765</v>
      </c>
      <c r="M24" s="597">
        <v>632</v>
      </c>
      <c r="N24" s="594">
        <v>260</v>
      </c>
      <c r="O24" s="786" t="s">
        <v>148</v>
      </c>
      <c r="P24" s="1635">
        <v>696268</v>
      </c>
      <c r="Q24" s="1637">
        <v>2678</v>
      </c>
      <c r="R24" s="587">
        <v>2784</v>
      </c>
      <c r="S24" s="588">
        <v>-8.6999999999999993</v>
      </c>
      <c r="T24" s="589">
        <v>1155161</v>
      </c>
      <c r="U24" s="1638">
        <v>415</v>
      </c>
      <c r="W24" s="594">
        <v>830918</v>
      </c>
      <c r="X24" s="1638">
        <v>1700</v>
      </c>
    </row>
    <row r="25" spans="1:25" s="593" customFormat="1" ht="15.75" customHeight="1">
      <c r="A25" s="795" t="s">
        <v>182</v>
      </c>
      <c r="B25" s="581">
        <v>26</v>
      </c>
      <c r="C25" s="578">
        <v>1756</v>
      </c>
      <c r="D25" s="578">
        <v>10418</v>
      </c>
      <c r="E25" s="578">
        <v>154921</v>
      </c>
      <c r="F25" s="578">
        <v>234</v>
      </c>
      <c r="G25" s="1388">
        <f>F25/$E$25*100</f>
        <v>0.15104472602164976</v>
      </c>
      <c r="H25" s="578">
        <v>20109</v>
      </c>
      <c r="I25" s="1388">
        <f>H25/$E$25*100</f>
        <v>12.980164083629722</v>
      </c>
      <c r="J25" s="1640">
        <v>134578</v>
      </c>
      <c r="K25" s="1655">
        <f>J25/$E$25*100</f>
        <v>86.868791190348631</v>
      </c>
      <c r="L25" s="578">
        <v>1892</v>
      </c>
      <c r="M25" s="580">
        <v>767</v>
      </c>
      <c r="N25" s="581">
        <v>222</v>
      </c>
      <c r="O25" s="796" t="s">
        <v>153</v>
      </c>
      <c r="P25" s="1632">
        <v>250643</v>
      </c>
      <c r="Q25" s="1634">
        <f>P25/N25</f>
        <v>1129.0225225225224</v>
      </c>
      <c r="R25" s="583">
        <v>2259</v>
      </c>
      <c r="S25" s="584">
        <v>-5.8</v>
      </c>
      <c r="T25" s="585">
        <v>893877</v>
      </c>
      <c r="U25" s="1634">
        <v>396</v>
      </c>
      <c r="W25" s="797">
        <v>3665527</v>
      </c>
      <c r="X25" s="1634">
        <v>2617</v>
      </c>
    </row>
    <row r="26" spans="1:25" s="593" customFormat="1" ht="15.75" customHeight="1">
      <c r="A26" s="779" t="s">
        <v>184</v>
      </c>
      <c r="B26" s="794">
        <v>41</v>
      </c>
      <c r="C26" s="791">
        <v>3097</v>
      </c>
      <c r="D26" s="589">
        <f>17666-B26-C26-71</f>
        <v>14457</v>
      </c>
      <c r="E26" s="589">
        <f>F26+H26+J26</f>
        <v>230731</v>
      </c>
      <c r="F26" s="791">
        <v>346</v>
      </c>
      <c r="G26" s="792">
        <v>0.14000000000000001</v>
      </c>
      <c r="H26" s="791">
        <v>32255</v>
      </c>
      <c r="I26" s="588">
        <v>14</v>
      </c>
      <c r="J26" s="1653">
        <f>205161-7031</f>
        <v>198130</v>
      </c>
      <c r="K26" s="1654">
        <v>85.9</v>
      </c>
      <c r="L26" s="589">
        <v>234</v>
      </c>
      <c r="M26" s="572">
        <v>342</v>
      </c>
      <c r="N26" s="794">
        <v>468</v>
      </c>
      <c r="O26" s="798" t="s">
        <v>153</v>
      </c>
      <c r="P26" s="1645">
        <v>398541</v>
      </c>
      <c r="Q26" s="1647">
        <v>852</v>
      </c>
      <c r="R26" s="794">
        <v>3044</v>
      </c>
      <c r="S26" s="792">
        <f>R26/17666</f>
        <v>0.17230838899581116</v>
      </c>
      <c r="T26" s="791">
        <v>1252561</v>
      </c>
      <c r="U26" s="1647">
        <v>411</v>
      </c>
      <c r="V26" s="1638"/>
      <c r="W26" s="1635">
        <v>7323050</v>
      </c>
      <c r="X26" s="1638">
        <v>2639</v>
      </c>
    </row>
    <row r="27" spans="1:25" s="593" customFormat="1" ht="15.75" customHeight="1">
      <c r="A27" s="795" t="s">
        <v>186</v>
      </c>
      <c r="B27" s="581">
        <v>34</v>
      </c>
      <c r="C27" s="578">
        <v>1861</v>
      </c>
      <c r="D27" s="578">
        <v>9782</v>
      </c>
      <c r="E27" s="578">
        <v>118198</v>
      </c>
      <c r="F27" s="578">
        <v>527</v>
      </c>
      <c r="G27" s="579">
        <v>0.4</v>
      </c>
      <c r="H27" s="578">
        <v>23283</v>
      </c>
      <c r="I27" s="579">
        <v>19.7</v>
      </c>
      <c r="J27" s="1640">
        <v>94388</v>
      </c>
      <c r="K27" s="1641">
        <v>79.900000000000006</v>
      </c>
      <c r="L27" s="578">
        <v>356.59</v>
      </c>
      <c r="M27" s="580">
        <v>333</v>
      </c>
      <c r="N27" s="581">
        <v>203</v>
      </c>
      <c r="O27" s="582" t="s">
        <v>148</v>
      </c>
      <c r="P27" s="1640">
        <v>510233</v>
      </c>
      <c r="Q27" s="1642">
        <v>2513</v>
      </c>
      <c r="R27" s="583">
        <v>2160</v>
      </c>
      <c r="S27" s="584">
        <v>-14.4</v>
      </c>
      <c r="T27" s="585">
        <v>502168</v>
      </c>
      <c r="U27" s="1634">
        <v>232</v>
      </c>
      <c r="W27" s="581">
        <v>7952720</v>
      </c>
      <c r="X27" s="1634">
        <v>1890</v>
      </c>
    </row>
    <row r="28" spans="1:25" s="593" customFormat="1" ht="15.75" customHeight="1">
      <c r="A28" s="779" t="s">
        <v>187</v>
      </c>
      <c r="B28" s="587">
        <v>141</v>
      </c>
      <c r="C28" s="589">
        <v>3408</v>
      </c>
      <c r="D28" s="589">
        <v>15907</v>
      </c>
      <c r="E28" s="589">
        <v>221130</v>
      </c>
      <c r="F28" s="589">
        <v>2076</v>
      </c>
      <c r="G28" s="588">
        <v>0.9</v>
      </c>
      <c r="H28" s="589">
        <v>60824</v>
      </c>
      <c r="I28" s="588">
        <v>27.5</v>
      </c>
      <c r="J28" s="1653">
        <v>158230</v>
      </c>
      <c r="K28" s="1654">
        <v>71.599999999999994</v>
      </c>
      <c r="L28" s="589">
        <v>10477</v>
      </c>
      <c r="M28" s="572">
        <v>3565</v>
      </c>
      <c r="N28" s="587">
        <v>780</v>
      </c>
      <c r="O28" s="786" t="s">
        <v>153</v>
      </c>
      <c r="P28" s="1653">
        <v>1350901</v>
      </c>
      <c r="Q28" s="1638">
        <v>1731.9</v>
      </c>
      <c r="R28" s="587">
        <v>4206</v>
      </c>
      <c r="S28" s="588">
        <v>-5.9</v>
      </c>
      <c r="T28" s="589">
        <v>1633272</v>
      </c>
      <c r="U28" s="1638">
        <v>388.3</v>
      </c>
      <c r="V28" s="593">
        <v>1307998</v>
      </c>
      <c r="W28" s="587">
        <v>5060323</v>
      </c>
      <c r="X28" s="1638">
        <v>7493</v>
      </c>
    </row>
    <row r="29" spans="1:25" s="593" customFormat="1" ht="15.75" customHeight="1">
      <c r="A29" s="795" t="s">
        <v>269</v>
      </c>
      <c r="B29" s="581">
        <v>88</v>
      </c>
      <c r="C29" s="578">
        <v>3921</v>
      </c>
      <c r="D29" s="578">
        <v>21102</v>
      </c>
      <c r="E29" s="578">
        <v>260961</v>
      </c>
      <c r="F29" s="578">
        <v>782</v>
      </c>
      <c r="G29" s="579">
        <v>0.29966163526350681</v>
      </c>
      <c r="H29" s="578">
        <v>43505</v>
      </c>
      <c r="I29" s="579">
        <v>16.671073455420544</v>
      </c>
      <c r="J29" s="1640">
        <v>216674</v>
      </c>
      <c r="K29" s="1641">
        <v>83.029264909315941</v>
      </c>
      <c r="L29" s="578">
        <v>3062</v>
      </c>
      <c r="M29" s="580">
        <v>1384</v>
      </c>
      <c r="N29" s="581">
        <v>670</v>
      </c>
      <c r="O29" s="582" t="s">
        <v>148</v>
      </c>
      <c r="P29" s="1640">
        <v>493977</v>
      </c>
      <c r="Q29" s="1642">
        <v>737.2791044776119</v>
      </c>
      <c r="R29" s="583">
        <v>5293</v>
      </c>
      <c r="S29" s="584">
        <v>-3.7986186841148677</v>
      </c>
      <c r="T29" s="585">
        <v>2444537</v>
      </c>
      <c r="U29" s="1634">
        <v>461.84337804647646</v>
      </c>
      <c r="W29" s="784">
        <v>8638000</v>
      </c>
      <c r="X29" s="1634">
        <v>13820</v>
      </c>
    </row>
    <row r="30" spans="1:25" s="593" customFormat="1" ht="15.75" customHeight="1">
      <c r="A30" s="779" t="s">
        <v>270</v>
      </c>
      <c r="B30" s="587">
        <v>81</v>
      </c>
      <c r="C30" s="589">
        <v>2813</v>
      </c>
      <c r="D30" s="589">
        <v>12444</v>
      </c>
      <c r="E30" s="589">
        <f>F30+H30+J30</f>
        <v>149002</v>
      </c>
      <c r="F30" s="589">
        <v>1284</v>
      </c>
      <c r="G30" s="588">
        <f>F30/E30*100</f>
        <v>0.86173339955168382</v>
      </c>
      <c r="H30" s="589">
        <v>31309</v>
      </c>
      <c r="I30" s="588">
        <f>H30/E30*100</f>
        <v>21.012469631280119</v>
      </c>
      <c r="J30" s="1653">
        <v>116409</v>
      </c>
      <c r="K30" s="1654">
        <f>J30/E30*100</f>
        <v>78.125796969168206</v>
      </c>
      <c r="L30" s="589">
        <v>6910</v>
      </c>
      <c r="M30" s="572">
        <v>2333</v>
      </c>
      <c r="N30" s="587">
        <v>596</v>
      </c>
      <c r="O30" s="573" t="s">
        <v>153</v>
      </c>
      <c r="P30" s="1653">
        <v>405071</v>
      </c>
      <c r="Q30" s="1638">
        <f>P30/N30</f>
        <v>679.64932885906035</v>
      </c>
      <c r="R30" s="587">
        <v>3374</v>
      </c>
      <c r="S30" s="588">
        <v>-4.7</v>
      </c>
      <c r="T30" s="589">
        <v>1132111</v>
      </c>
      <c r="U30" s="1638">
        <f>T30/R30</f>
        <v>335.53971547125076</v>
      </c>
      <c r="W30" s="587">
        <v>3242003</v>
      </c>
      <c r="X30" s="1638">
        <v>3465</v>
      </c>
    </row>
    <row r="31" spans="1:25" s="593" customFormat="1" ht="15.75" customHeight="1">
      <c r="A31" s="795" t="s">
        <v>271</v>
      </c>
      <c r="B31" s="799">
        <v>26</v>
      </c>
      <c r="C31" s="578">
        <v>1449</v>
      </c>
      <c r="D31" s="578">
        <v>9138</v>
      </c>
      <c r="E31" s="578">
        <v>104674</v>
      </c>
      <c r="F31" s="578">
        <v>217</v>
      </c>
      <c r="G31" s="579">
        <v>0.2</v>
      </c>
      <c r="H31" s="578">
        <v>16818</v>
      </c>
      <c r="I31" s="579">
        <v>16.100000000000001</v>
      </c>
      <c r="J31" s="578">
        <v>87639</v>
      </c>
      <c r="K31" s="1641">
        <v>83.7</v>
      </c>
      <c r="L31" s="800">
        <v>713</v>
      </c>
      <c r="M31" s="1656">
        <v>995</v>
      </c>
      <c r="N31" s="799">
        <v>262</v>
      </c>
      <c r="O31" s="582" t="s">
        <v>148</v>
      </c>
      <c r="P31" s="1657">
        <v>259211</v>
      </c>
      <c r="Q31" s="1656">
        <v>989</v>
      </c>
      <c r="R31" s="802">
        <v>2288</v>
      </c>
      <c r="S31" s="1658">
        <v>-6.3</v>
      </c>
      <c r="T31" s="1659">
        <v>671869</v>
      </c>
      <c r="U31" s="1660">
        <v>294</v>
      </c>
      <c r="W31" s="581">
        <v>5089053</v>
      </c>
      <c r="X31" s="1634">
        <v>3792</v>
      </c>
    </row>
    <row r="32" spans="1:25" s="593" customFormat="1" ht="15.75" customHeight="1">
      <c r="A32" s="779" t="s">
        <v>193</v>
      </c>
      <c r="B32" s="587">
        <v>117</v>
      </c>
      <c r="C32" s="589">
        <v>2758</v>
      </c>
      <c r="D32" s="589">
        <v>14936</v>
      </c>
      <c r="E32" s="589">
        <f>F32+H32+J32</f>
        <v>184932</v>
      </c>
      <c r="F32" s="589">
        <v>1859</v>
      </c>
      <c r="G32" s="588">
        <f>F32/E32*100</f>
        <v>1.0052343564120867</v>
      </c>
      <c r="H32" s="589">
        <v>36888</v>
      </c>
      <c r="I32" s="588">
        <f>H32/E32*100</f>
        <v>19.946791253001102</v>
      </c>
      <c r="J32" s="1653">
        <v>146185</v>
      </c>
      <c r="K32" s="1654">
        <f>J32/E32*100</f>
        <v>79.047974390586802</v>
      </c>
      <c r="L32" s="589">
        <v>3081</v>
      </c>
      <c r="M32" s="597">
        <v>4214</v>
      </c>
      <c r="N32" s="587">
        <v>450</v>
      </c>
      <c r="O32" s="573" t="s">
        <v>153</v>
      </c>
      <c r="P32" s="1653">
        <v>577518</v>
      </c>
      <c r="Q32" s="1638">
        <f>P32/N32</f>
        <v>1283.3733333333332</v>
      </c>
      <c r="R32" s="587">
        <v>3452</v>
      </c>
      <c r="S32" s="588">
        <f>(R32/3807-1)*100</f>
        <v>-9.3249277646440749</v>
      </c>
      <c r="T32" s="589">
        <v>1589111</v>
      </c>
      <c r="U32" s="1638">
        <f>T32/R32</f>
        <v>460.34501738122827</v>
      </c>
      <c r="W32" s="575">
        <v>13348500</v>
      </c>
      <c r="X32" s="1638">
        <v>5794</v>
      </c>
    </row>
    <row r="33" spans="1:24" s="593" customFormat="1" ht="15.75" customHeight="1">
      <c r="A33" s="795" t="s">
        <v>272</v>
      </c>
      <c r="B33" s="799">
        <v>76</v>
      </c>
      <c r="C33" s="578">
        <v>1708</v>
      </c>
      <c r="D33" s="578">
        <v>10668</v>
      </c>
      <c r="E33" s="578">
        <v>121650</v>
      </c>
      <c r="F33" s="578">
        <v>860</v>
      </c>
      <c r="G33" s="579">
        <v>0.70694615700780905</v>
      </c>
      <c r="H33" s="578">
        <v>22935</v>
      </c>
      <c r="I33" s="579">
        <v>18.853267570900123</v>
      </c>
      <c r="J33" s="578">
        <v>97855</v>
      </c>
      <c r="K33" s="1641">
        <v>80.439786272092064</v>
      </c>
      <c r="L33" s="800">
        <v>5941</v>
      </c>
      <c r="M33" s="1656">
        <v>3168</v>
      </c>
      <c r="N33" s="799">
        <v>317</v>
      </c>
      <c r="O33" s="582" t="s">
        <v>153</v>
      </c>
      <c r="P33" s="1657">
        <v>519285</v>
      </c>
      <c r="Q33" s="1656">
        <v>1638</v>
      </c>
      <c r="R33" s="802">
        <v>2699</v>
      </c>
      <c r="S33" s="1658">
        <v>-0.47935103200000001</v>
      </c>
      <c r="T33" s="1659">
        <v>1013713</v>
      </c>
      <c r="U33" s="1660">
        <v>375.58836606150402</v>
      </c>
      <c r="W33" s="581">
        <v>3771562</v>
      </c>
      <c r="X33" s="1634">
        <v>6581</v>
      </c>
    </row>
    <row r="34" spans="1:24" s="593" customFormat="1" ht="15.75" customHeight="1">
      <c r="A34" s="779" t="s">
        <v>196</v>
      </c>
      <c r="B34" s="587">
        <v>65</v>
      </c>
      <c r="C34" s="589">
        <v>3044</v>
      </c>
      <c r="D34" s="589">
        <v>17033</v>
      </c>
      <c r="E34" s="589">
        <v>201864</v>
      </c>
      <c r="F34" s="589">
        <v>614</v>
      </c>
      <c r="G34" s="588">
        <v>0.3</v>
      </c>
      <c r="H34" s="589">
        <v>28010</v>
      </c>
      <c r="I34" s="588">
        <v>13.9</v>
      </c>
      <c r="J34" s="1653">
        <v>173240</v>
      </c>
      <c r="K34" s="1654">
        <v>85.8</v>
      </c>
      <c r="L34" s="589">
        <v>2333</v>
      </c>
      <c r="M34" s="572">
        <v>2121</v>
      </c>
      <c r="N34" s="587">
        <v>475</v>
      </c>
      <c r="O34" s="786" t="s">
        <v>153</v>
      </c>
      <c r="P34" s="1653">
        <v>244636</v>
      </c>
      <c r="Q34" s="1638">
        <v>515</v>
      </c>
      <c r="R34" s="587">
        <v>4107</v>
      </c>
      <c r="S34" s="588">
        <v>-6.6</v>
      </c>
      <c r="T34" s="589">
        <v>1391955</v>
      </c>
      <c r="U34" s="1638">
        <v>339</v>
      </c>
      <c r="W34" s="587">
        <v>5964695</v>
      </c>
      <c r="X34" s="1638">
        <v>3759</v>
      </c>
    </row>
    <row r="35" spans="1:24" s="593" customFormat="1" ht="15.75" customHeight="1">
      <c r="A35" s="795" t="s">
        <v>197</v>
      </c>
      <c r="B35" s="583">
        <v>122</v>
      </c>
      <c r="C35" s="585">
        <v>2841</v>
      </c>
      <c r="D35" s="585">
        <v>11387</v>
      </c>
      <c r="E35" s="585">
        <v>164058</v>
      </c>
      <c r="F35" s="585">
        <v>1450</v>
      </c>
      <c r="G35" s="584">
        <v>0.9</v>
      </c>
      <c r="H35" s="585">
        <v>47964</v>
      </c>
      <c r="I35" s="584">
        <v>29.2</v>
      </c>
      <c r="J35" s="1632">
        <v>114644</v>
      </c>
      <c r="K35" s="1633">
        <v>69.900000000000006</v>
      </c>
      <c r="L35" s="585">
        <v>4163</v>
      </c>
      <c r="M35" s="782">
        <v>2741</v>
      </c>
      <c r="N35" s="583">
        <v>715</v>
      </c>
      <c r="O35" s="582" t="s">
        <v>153</v>
      </c>
      <c r="P35" s="1632">
        <v>1363743</v>
      </c>
      <c r="Q35" s="1634">
        <v>1907</v>
      </c>
      <c r="R35" s="583">
        <v>2907</v>
      </c>
      <c r="S35" s="584">
        <v>-12.4</v>
      </c>
      <c r="T35" s="585">
        <v>1237818</v>
      </c>
      <c r="U35" s="1634">
        <v>426</v>
      </c>
      <c r="W35" s="583">
        <v>4447782</v>
      </c>
      <c r="X35" s="1634">
        <v>2623</v>
      </c>
    </row>
    <row r="36" spans="1:24" s="593" customFormat="1" ht="15.75" customHeight="1">
      <c r="A36" s="779" t="s">
        <v>198</v>
      </c>
      <c r="B36" s="587">
        <v>49</v>
      </c>
      <c r="C36" s="589">
        <v>2696</v>
      </c>
      <c r="D36" s="589">
        <v>10376</v>
      </c>
      <c r="E36" s="589">
        <v>165945</v>
      </c>
      <c r="F36" s="589">
        <v>663</v>
      </c>
      <c r="G36" s="588">
        <v>0.4</v>
      </c>
      <c r="H36" s="589">
        <v>54059</v>
      </c>
      <c r="I36" s="588">
        <v>32.6</v>
      </c>
      <c r="J36" s="1653">
        <v>111223</v>
      </c>
      <c r="K36" s="1654">
        <v>67</v>
      </c>
      <c r="L36" s="589">
        <v>1865</v>
      </c>
      <c r="M36" s="572">
        <v>1101</v>
      </c>
      <c r="N36" s="587">
        <v>588</v>
      </c>
      <c r="O36" s="786" t="s">
        <v>153</v>
      </c>
      <c r="P36" s="1653">
        <v>1829709</v>
      </c>
      <c r="Q36" s="1638">
        <v>3111</v>
      </c>
      <c r="R36" s="587">
        <v>2689</v>
      </c>
      <c r="S36" s="588">
        <v>1.1000000000000001</v>
      </c>
      <c r="T36" s="589">
        <v>919034</v>
      </c>
      <c r="U36" s="1638">
        <v>342</v>
      </c>
      <c r="W36" s="587">
        <v>4236177</v>
      </c>
      <c r="X36" s="1638">
        <v>1795</v>
      </c>
    </row>
    <row r="37" spans="1:24" s="593" customFormat="1" ht="15.75" customHeight="1">
      <c r="A37" s="795" t="s">
        <v>199</v>
      </c>
      <c r="B37" s="583">
        <v>23</v>
      </c>
      <c r="C37" s="585">
        <v>3762</v>
      </c>
      <c r="D37" s="1661">
        <v>11938</v>
      </c>
      <c r="E37" s="585">
        <v>140911</v>
      </c>
      <c r="F37" s="585">
        <v>227</v>
      </c>
      <c r="G37" s="584">
        <v>0.2</v>
      </c>
      <c r="H37" s="585">
        <v>36611</v>
      </c>
      <c r="I37" s="584">
        <v>26</v>
      </c>
      <c r="J37" s="1632">
        <v>104073</v>
      </c>
      <c r="K37" s="1633">
        <v>73.8</v>
      </c>
      <c r="L37" s="585">
        <v>1444</v>
      </c>
      <c r="M37" s="782">
        <v>917</v>
      </c>
      <c r="N37" s="583">
        <v>657</v>
      </c>
      <c r="O37" s="582" t="s">
        <v>148</v>
      </c>
      <c r="P37" s="1632">
        <v>490189</v>
      </c>
      <c r="Q37" s="1634">
        <v>746</v>
      </c>
      <c r="R37" s="583">
        <v>2646</v>
      </c>
      <c r="S37" s="584">
        <v>-4.8</v>
      </c>
      <c r="T37" s="585">
        <v>823907</v>
      </c>
      <c r="U37" s="1634">
        <v>311</v>
      </c>
      <c r="W37" s="583">
        <v>4113662</v>
      </c>
      <c r="X37" s="1634">
        <v>1337</v>
      </c>
    </row>
    <row r="38" spans="1:24" s="593" customFormat="1" ht="15.75" customHeight="1">
      <c r="A38" s="779" t="s">
        <v>201</v>
      </c>
      <c r="B38" s="587">
        <v>77</v>
      </c>
      <c r="C38" s="589">
        <v>2695</v>
      </c>
      <c r="D38" s="589">
        <v>10194</v>
      </c>
      <c r="E38" s="589">
        <v>255127</v>
      </c>
      <c r="F38" s="589">
        <v>983</v>
      </c>
      <c r="G38" s="588">
        <v>0.4</v>
      </c>
      <c r="H38" s="589">
        <v>124627</v>
      </c>
      <c r="I38" s="588">
        <v>48.8</v>
      </c>
      <c r="J38" s="1653">
        <v>129517</v>
      </c>
      <c r="K38" s="1654">
        <v>50.8</v>
      </c>
      <c r="L38" s="589">
        <v>3339</v>
      </c>
      <c r="M38" s="572">
        <v>1994</v>
      </c>
      <c r="N38" s="587">
        <v>772</v>
      </c>
      <c r="O38" s="786" t="s">
        <v>148</v>
      </c>
      <c r="P38" s="1653">
        <v>14709570</v>
      </c>
      <c r="Q38" s="1638">
        <v>19054</v>
      </c>
      <c r="R38" s="587">
        <v>2269</v>
      </c>
      <c r="S38" s="588">
        <v>-6.6</v>
      </c>
      <c r="T38" s="589">
        <v>2052323</v>
      </c>
      <c r="U38" s="1638">
        <v>905</v>
      </c>
      <c r="W38" s="587">
        <v>8581727</v>
      </c>
      <c r="X38" s="1638">
        <v>2935</v>
      </c>
    </row>
    <row r="39" spans="1:24" s="593" customFormat="1" ht="15.75" customHeight="1">
      <c r="A39" s="795" t="s">
        <v>203</v>
      </c>
      <c r="B39" s="583">
        <v>54</v>
      </c>
      <c r="C39" s="585">
        <v>1593</v>
      </c>
      <c r="D39" s="585">
        <v>9583</v>
      </c>
      <c r="E39" s="585">
        <v>119247</v>
      </c>
      <c r="F39" s="585">
        <v>556</v>
      </c>
      <c r="G39" s="584">
        <v>0.4662591092438384</v>
      </c>
      <c r="H39" s="585">
        <v>20624</v>
      </c>
      <c r="I39" s="584">
        <v>17.295194009073604</v>
      </c>
      <c r="J39" s="1632">
        <v>98067</v>
      </c>
      <c r="K39" s="1633">
        <v>82.238546881682566</v>
      </c>
      <c r="L39" s="585">
        <v>1242</v>
      </c>
      <c r="M39" s="782">
        <v>1226</v>
      </c>
      <c r="N39" s="583">
        <v>193</v>
      </c>
      <c r="O39" s="582" t="s">
        <v>148</v>
      </c>
      <c r="P39" s="1632">
        <v>397265</v>
      </c>
      <c r="Q39" s="1634">
        <v>2058.3678756476684</v>
      </c>
      <c r="R39" s="583">
        <v>1902</v>
      </c>
      <c r="S39" s="584">
        <v>-1.7</v>
      </c>
      <c r="T39" s="585">
        <v>485989</v>
      </c>
      <c r="U39" s="1634">
        <v>255.51472134595164</v>
      </c>
      <c r="W39" s="803">
        <v>9243787</v>
      </c>
      <c r="X39" s="1634">
        <v>3487</v>
      </c>
    </row>
    <row r="40" spans="1:24" s="593" customFormat="1" ht="15.75" customHeight="1">
      <c r="A40" s="779" t="s">
        <v>204</v>
      </c>
      <c r="B40" s="594">
        <v>12</v>
      </c>
      <c r="C40" s="595">
        <v>2140</v>
      </c>
      <c r="D40" s="595">
        <v>11028</v>
      </c>
      <c r="E40" s="595">
        <v>130490</v>
      </c>
      <c r="F40" s="595">
        <v>80</v>
      </c>
      <c r="G40" s="596">
        <f>F40/130490*100</f>
        <v>6.1307379875852559E-2</v>
      </c>
      <c r="H40" s="595">
        <v>21725</v>
      </c>
      <c r="I40" s="596">
        <f>H40/130490*100</f>
        <v>16.648785347536212</v>
      </c>
      <c r="J40" s="1635">
        <v>108685</v>
      </c>
      <c r="K40" s="1636">
        <f>J40/130490*100</f>
        <v>83.289907272587939</v>
      </c>
      <c r="L40" s="595">
        <v>56</v>
      </c>
      <c r="M40" s="597">
        <v>69</v>
      </c>
      <c r="N40" s="1390">
        <v>438</v>
      </c>
      <c r="O40" s="573" t="s">
        <v>153</v>
      </c>
      <c r="P40" s="1391">
        <v>303425.09999999998</v>
      </c>
      <c r="Q40" s="1390">
        <v>693</v>
      </c>
      <c r="R40" s="587">
        <v>2048</v>
      </c>
      <c r="S40" s="588">
        <v>-6.5</v>
      </c>
      <c r="T40" s="589">
        <v>1216478</v>
      </c>
      <c r="U40" s="1638">
        <f>T40/R40</f>
        <v>593.9833984375</v>
      </c>
      <c r="W40" s="804" t="s">
        <v>427</v>
      </c>
      <c r="X40" s="1638">
        <v>1289</v>
      </c>
    </row>
    <row r="41" spans="1:24" s="593" customFormat="1" ht="15.75" customHeight="1">
      <c r="A41" s="795" t="s">
        <v>205</v>
      </c>
      <c r="B41" s="583">
        <v>11</v>
      </c>
      <c r="C41" s="585">
        <v>1321</v>
      </c>
      <c r="D41" s="585">
        <v>10577</v>
      </c>
      <c r="E41" s="585">
        <v>159426</v>
      </c>
      <c r="F41" s="585">
        <v>134</v>
      </c>
      <c r="G41" s="584">
        <v>0.1</v>
      </c>
      <c r="H41" s="585">
        <v>16305</v>
      </c>
      <c r="I41" s="584">
        <v>10.199999999999999</v>
      </c>
      <c r="J41" s="1632">
        <v>142987</v>
      </c>
      <c r="K41" s="1633">
        <v>89.7</v>
      </c>
      <c r="L41" s="578">
        <v>36</v>
      </c>
      <c r="M41" s="1642">
        <v>53</v>
      </c>
      <c r="N41" s="583">
        <v>180</v>
      </c>
      <c r="O41" s="783" t="s">
        <v>153</v>
      </c>
      <c r="P41" s="1632">
        <v>302841</v>
      </c>
      <c r="Q41" s="1634">
        <v>1682</v>
      </c>
      <c r="R41" s="583">
        <v>2487</v>
      </c>
      <c r="S41" s="584">
        <v>1.7</v>
      </c>
      <c r="T41" s="585">
        <v>1815439</v>
      </c>
      <c r="U41" s="1634">
        <v>730</v>
      </c>
      <c r="W41" s="583">
        <v>3448409</v>
      </c>
      <c r="X41" s="1634">
        <v>1737</v>
      </c>
    </row>
    <row r="42" spans="1:24" s="593" customFormat="1" ht="15.75" customHeight="1">
      <c r="A42" s="779" t="s">
        <v>208</v>
      </c>
      <c r="B42" s="587">
        <v>21</v>
      </c>
      <c r="C42" s="589">
        <v>1200</v>
      </c>
      <c r="D42" s="589">
        <v>8198</v>
      </c>
      <c r="E42" s="589">
        <v>111901</v>
      </c>
      <c r="F42" s="589">
        <v>150</v>
      </c>
      <c r="G42" s="588">
        <f>(F42/E42)*100</f>
        <v>0.13404705945433909</v>
      </c>
      <c r="H42" s="589">
        <v>17623</v>
      </c>
      <c r="I42" s="588">
        <f>(H42/E42)*100</f>
        <v>15.748742191758785</v>
      </c>
      <c r="J42" s="1653">
        <v>94128</v>
      </c>
      <c r="K42" s="588">
        <f>(J42/E42)*100</f>
        <v>84.117210748786874</v>
      </c>
      <c r="L42" s="595">
        <v>247</v>
      </c>
      <c r="M42" s="597">
        <v>440</v>
      </c>
      <c r="N42" s="587">
        <v>174</v>
      </c>
      <c r="O42" s="573" t="s">
        <v>153</v>
      </c>
      <c r="P42" s="1653">
        <v>381585</v>
      </c>
      <c r="Q42" s="1638">
        <v>2193</v>
      </c>
      <c r="R42" s="587">
        <v>1674</v>
      </c>
      <c r="S42" s="1662">
        <f>((R42-1725)/1725)*100</f>
        <v>-2.9565217391304346</v>
      </c>
      <c r="T42" s="589">
        <v>589427</v>
      </c>
      <c r="U42" s="1638">
        <v>352</v>
      </c>
      <c r="W42" s="805">
        <v>2277956</v>
      </c>
      <c r="X42" s="1638">
        <v>431</v>
      </c>
    </row>
    <row r="43" spans="1:24" s="593" customFormat="1" ht="15.75" customHeight="1">
      <c r="A43" s="795" t="s">
        <v>209</v>
      </c>
      <c r="B43" s="581">
        <v>9</v>
      </c>
      <c r="C43" s="578">
        <v>1344</v>
      </c>
      <c r="D43" s="578">
        <v>8451</v>
      </c>
      <c r="E43" s="578">
        <v>124675</v>
      </c>
      <c r="F43" s="578">
        <v>43</v>
      </c>
      <c r="G43" s="579">
        <v>0.03</v>
      </c>
      <c r="H43" s="578">
        <v>25828</v>
      </c>
      <c r="I43" s="579">
        <v>20.72</v>
      </c>
      <c r="J43" s="1640">
        <v>98804</v>
      </c>
      <c r="K43" s="1641">
        <v>79.25</v>
      </c>
      <c r="L43" s="578">
        <v>213</v>
      </c>
      <c r="M43" s="580">
        <v>364</v>
      </c>
      <c r="N43" s="581">
        <v>286</v>
      </c>
      <c r="O43" s="582" t="s">
        <v>153</v>
      </c>
      <c r="P43" s="1640">
        <v>748820</v>
      </c>
      <c r="Q43" s="1642">
        <v>2618</v>
      </c>
      <c r="R43" s="583">
        <v>1863</v>
      </c>
      <c r="S43" s="584">
        <v>1.9</v>
      </c>
      <c r="T43" s="585">
        <v>505352</v>
      </c>
      <c r="U43" s="1634">
        <v>271</v>
      </c>
      <c r="W43" s="581" t="s">
        <v>153</v>
      </c>
      <c r="X43" s="1634">
        <v>514</v>
      </c>
    </row>
    <row r="44" spans="1:24" s="593" customFormat="1" ht="15.75" customHeight="1">
      <c r="A44" s="779" t="s">
        <v>273</v>
      </c>
      <c r="B44" s="594">
        <v>16</v>
      </c>
      <c r="C44" s="595">
        <v>3532</v>
      </c>
      <c r="D44" s="595">
        <v>7382</v>
      </c>
      <c r="E44" s="595">
        <v>109238</v>
      </c>
      <c r="F44" s="595">
        <v>88</v>
      </c>
      <c r="G44" s="596">
        <v>8.0558047565865362E-2</v>
      </c>
      <c r="H44" s="595">
        <v>41703</v>
      </c>
      <c r="I44" s="596">
        <v>38.176275654991855</v>
      </c>
      <c r="J44" s="1635">
        <v>67447</v>
      </c>
      <c r="K44" s="1636">
        <v>61.743166297442286</v>
      </c>
      <c r="L44" s="595">
        <v>128</v>
      </c>
      <c r="M44" s="597">
        <v>238</v>
      </c>
      <c r="N44" s="594">
        <v>1016</v>
      </c>
      <c r="O44" s="786" t="s">
        <v>148</v>
      </c>
      <c r="P44" s="1653">
        <v>822234.32</v>
      </c>
      <c r="Q44" s="1638">
        <v>809.28574803149604</v>
      </c>
      <c r="R44" s="587">
        <v>1655</v>
      </c>
      <c r="S44" s="588">
        <v>-10.10320478001087</v>
      </c>
      <c r="T44" s="589">
        <v>621498</v>
      </c>
      <c r="U44" s="1638">
        <v>375.52749244712993</v>
      </c>
      <c r="W44" s="594" t="s">
        <v>185</v>
      </c>
      <c r="X44" s="1638">
        <v>232</v>
      </c>
    </row>
    <row r="45" spans="1:24" s="593" customFormat="1" ht="15.75" customHeight="1">
      <c r="A45" s="795" t="s">
        <v>274</v>
      </c>
      <c r="B45" s="581">
        <v>4</v>
      </c>
      <c r="C45" s="578">
        <v>1167</v>
      </c>
      <c r="D45" s="578">
        <v>5668</v>
      </c>
      <c r="E45" s="578">
        <v>68367</v>
      </c>
      <c r="F45" s="578">
        <v>12</v>
      </c>
      <c r="G45" s="579">
        <v>0</v>
      </c>
      <c r="H45" s="578">
        <v>12867</v>
      </c>
      <c r="I45" s="579">
        <v>18.8</v>
      </c>
      <c r="J45" s="1640">
        <v>55488</v>
      </c>
      <c r="K45" s="1641">
        <v>81.2</v>
      </c>
      <c r="L45" s="578">
        <v>87</v>
      </c>
      <c r="M45" s="580">
        <v>126</v>
      </c>
      <c r="N45" s="583">
        <v>220</v>
      </c>
      <c r="O45" s="582" t="s">
        <v>153</v>
      </c>
      <c r="P45" s="1632">
        <v>169643</v>
      </c>
      <c r="Q45" s="1634">
        <v>771</v>
      </c>
      <c r="R45" s="583">
        <v>1212</v>
      </c>
      <c r="S45" s="584">
        <v>-6.8</v>
      </c>
      <c r="T45" s="585">
        <v>360409</v>
      </c>
      <c r="U45" s="1632">
        <v>297</v>
      </c>
      <c r="V45" s="806"/>
      <c r="W45" s="581" t="s">
        <v>181</v>
      </c>
      <c r="X45" s="1634">
        <v>280</v>
      </c>
    </row>
    <row r="46" spans="1:24" s="593" customFormat="1" ht="15.75" customHeight="1">
      <c r="A46" s="779" t="s">
        <v>215</v>
      </c>
      <c r="B46" s="594">
        <v>14</v>
      </c>
      <c r="C46" s="595">
        <v>7364</v>
      </c>
      <c r="D46" s="595">
        <v>17030</v>
      </c>
      <c r="E46" s="595">
        <v>241693</v>
      </c>
      <c r="F46" s="595">
        <v>80</v>
      </c>
      <c r="G46" s="596">
        <v>0</v>
      </c>
      <c r="H46" s="595">
        <v>74443</v>
      </c>
      <c r="I46" s="596">
        <v>30.8</v>
      </c>
      <c r="J46" s="1635">
        <v>167170</v>
      </c>
      <c r="K46" s="1636">
        <v>69.2</v>
      </c>
      <c r="L46" s="595">
        <v>65</v>
      </c>
      <c r="M46" s="597">
        <v>132</v>
      </c>
      <c r="N46" s="594">
        <v>1966</v>
      </c>
      <c r="O46" s="786" t="s">
        <v>148</v>
      </c>
      <c r="P46" s="1635">
        <v>1076181</v>
      </c>
      <c r="Q46" s="1637">
        <v>547</v>
      </c>
      <c r="R46" s="587">
        <v>4205</v>
      </c>
      <c r="S46" s="588">
        <v>-2</v>
      </c>
      <c r="T46" s="589">
        <v>1871423</v>
      </c>
      <c r="U46" s="1638">
        <v>445</v>
      </c>
      <c r="W46" s="594" t="s">
        <v>153</v>
      </c>
      <c r="X46" s="1638">
        <v>958</v>
      </c>
    </row>
    <row r="47" spans="1:24" s="593" customFormat="1" ht="15.75" customHeight="1">
      <c r="A47" s="795" t="s">
        <v>216</v>
      </c>
      <c r="B47" s="581">
        <v>77</v>
      </c>
      <c r="C47" s="578">
        <v>3965</v>
      </c>
      <c r="D47" s="578">
        <v>18548</v>
      </c>
      <c r="E47" s="578">
        <v>264586</v>
      </c>
      <c r="F47" s="578">
        <v>699</v>
      </c>
      <c r="G47" s="579">
        <v>0.26</v>
      </c>
      <c r="H47" s="578">
        <v>67661</v>
      </c>
      <c r="I47" s="579">
        <v>25.57</v>
      </c>
      <c r="J47" s="1640">
        <v>196226</v>
      </c>
      <c r="K47" s="1641">
        <v>74.16</v>
      </c>
      <c r="L47" s="578">
        <v>1939</v>
      </c>
      <c r="M47" s="580">
        <v>1650</v>
      </c>
      <c r="N47" s="581">
        <v>861</v>
      </c>
      <c r="O47" s="582" t="s">
        <v>153</v>
      </c>
      <c r="P47" s="1640">
        <v>1991090</v>
      </c>
      <c r="Q47" s="1642">
        <v>2313</v>
      </c>
      <c r="R47" s="583">
        <v>4701</v>
      </c>
      <c r="S47" s="584">
        <v>-6.8</v>
      </c>
      <c r="T47" s="585">
        <v>1651935</v>
      </c>
      <c r="U47" s="1634">
        <v>351</v>
      </c>
      <c r="W47" s="581">
        <v>6464904</v>
      </c>
      <c r="X47" s="1634">
        <v>5959</v>
      </c>
    </row>
    <row r="48" spans="1:24" s="593" customFormat="1" ht="15.75" customHeight="1">
      <c r="A48" s="779" t="s">
        <v>218</v>
      </c>
      <c r="B48" s="594">
        <v>11</v>
      </c>
      <c r="C48" s="595">
        <v>3135</v>
      </c>
      <c r="D48" s="595">
        <v>13782</v>
      </c>
      <c r="E48" s="595">
        <v>202950</v>
      </c>
      <c r="F48" s="595">
        <v>185</v>
      </c>
      <c r="G48" s="596">
        <v>0.1</v>
      </c>
      <c r="H48" s="595">
        <v>53062</v>
      </c>
      <c r="I48" s="596">
        <v>26.1</v>
      </c>
      <c r="J48" s="1635">
        <v>149703</v>
      </c>
      <c r="K48" s="1636">
        <v>73.8</v>
      </c>
      <c r="L48" s="595">
        <v>52</v>
      </c>
      <c r="M48" s="597">
        <v>118</v>
      </c>
      <c r="N48" s="587">
        <v>654</v>
      </c>
      <c r="O48" s="1663" t="s">
        <v>148</v>
      </c>
      <c r="P48" s="1664">
        <v>1308746</v>
      </c>
      <c r="Q48" s="1665">
        <v>2001</v>
      </c>
      <c r="R48" s="587">
        <v>2794</v>
      </c>
      <c r="S48" s="588">
        <v>-9.3000000000000007</v>
      </c>
      <c r="T48" s="589">
        <v>1072123</v>
      </c>
      <c r="U48" s="1638">
        <v>384</v>
      </c>
      <c r="W48" s="587">
        <v>2416350</v>
      </c>
      <c r="X48" s="1638">
        <v>1911</v>
      </c>
    </row>
    <row r="49" spans="1:24" s="593" customFormat="1" ht="15.75" customHeight="1">
      <c r="A49" s="795" t="s">
        <v>275</v>
      </c>
      <c r="B49" s="581">
        <v>10</v>
      </c>
      <c r="C49" s="1666">
        <v>996</v>
      </c>
      <c r="D49" s="1666">
        <v>7675</v>
      </c>
      <c r="E49" s="1666">
        <v>105219</v>
      </c>
      <c r="F49" s="1666">
        <v>61</v>
      </c>
      <c r="G49" s="1667">
        <f>F49/E49*100</f>
        <v>5.7974320227335362E-2</v>
      </c>
      <c r="H49" s="1666">
        <v>25550</v>
      </c>
      <c r="I49" s="1667">
        <f>H49/E49*100</f>
        <v>24.282686587023257</v>
      </c>
      <c r="J49" s="1640">
        <v>79608</v>
      </c>
      <c r="K49" s="1641">
        <f>J49/E49*100</f>
        <v>75.659339092749406</v>
      </c>
      <c r="L49" s="1666">
        <v>356</v>
      </c>
      <c r="M49" s="580">
        <v>438</v>
      </c>
      <c r="N49" s="581">
        <v>269</v>
      </c>
      <c r="O49" s="582" t="s">
        <v>153</v>
      </c>
      <c r="P49" s="1640">
        <v>1227322</v>
      </c>
      <c r="Q49" s="1642">
        <v>4563</v>
      </c>
      <c r="R49" s="583">
        <v>1668</v>
      </c>
      <c r="S49" s="584">
        <f>(1668-1788)/1788*100</f>
        <v>-6.7114093959731544</v>
      </c>
      <c r="T49" s="585">
        <v>546343</v>
      </c>
      <c r="U49" s="1634">
        <f>T49/R49</f>
        <v>327.54376498800957</v>
      </c>
      <c r="W49" s="581">
        <v>4837168</v>
      </c>
      <c r="X49" s="1634">
        <v>1597</v>
      </c>
    </row>
    <row r="50" spans="1:24" s="593" customFormat="1" ht="15.75" customHeight="1">
      <c r="A50" s="779" t="s">
        <v>220</v>
      </c>
      <c r="B50" s="587">
        <v>21</v>
      </c>
      <c r="C50" s="589">
        <v>1237</v>
      </c>
      <c r="D50" s="589">
        <v>12544</v>
      </c>
      <c r="E50" s="589">
        <f>F50+H50+J50</f>
        <v>153089</v>
      </c>
      <c r="F50" s="589">
        <v>184</v>
      </c>
      <c r="G50" s="588">
        <f>F50/E50*100</f>
        <v>0.12019152257836944</v>
      </c>
      <c r="H50" s="589">
        <v>18701</v>
      </c>
      <c r="I50" s="588">
        <f>H50/E50*100</f>
        <v>12.215769911620038</v>
      </c>
      <c r="J50" s="1653">
        <v>134204</v>
      </c>
      <c r="K50" s="1654">
        <f>J50/E50*100</f>
        <v>87.66403856580159</v>
      </c>
      <c r="L50" s="595">
        <v>85.97</v>
      </c>
      <c r="M50" s="597">
        <v>149</v>
      </c>
      <c r="N50" s="587">
        <v>180</v>
      </c>
      <c r="O50" s="573" t="s">
        <v>153</v>
      </c>
      <c r="P50" s="1653">
        <v>264142</v>
      </c>
      <c r="Q50" s="1638">
        <f>P50/N50</f>
        <v>1467.4555555555555</v>
      </c>
      <c r="R50" s="587">
        <v>2572</v>
      </c>
      <c r="S50" s="588">
        <v>2.5</v>
      </c>
      <c r="T50" s="589">
        <v>1089626</v>
      </c>
      <c r="U50" s="1638">
        <f>T50/R50</f>
        <v>423.64930015552102</v>
      </c>
      <c r="W50" s="587">
        <v>10986676</v>
      </c>
      <c r="X50" s="1638">
        <v>1013</v>
      </c>
    </row>
    <row r="51" spans="1:24" s="593" customFormat="1" ht="15.75" customHeight="1">
      <c r="A51" s="795" t="s">
        <v>221</v>
      </c>
      <c r="B51" s="583">
        <v>32</v>
      </c>
      <c r="C51" s="585">
        <v>1283</v>
      </c>
      <c r="D51" s="585">
        <v>11042</v>
      </c>
      <c r="E51" s="585">
        <v>141715</v>
      </c>
      <c r="F51" s="585">
        <v>282</v>
      </c>
      <c r="G51" s="584">
        <v>0.2</v>
      </c>
      <c r="H51" s="585">
        <v>13202</v>
      </c>
      <c r="I51" s="584">
        <v>9.3000000000000007</v>
      </c>
      <c r="J51" s="1632">
        <v>128231</v>
      </c>
      <c r="K51" s="1633">
        <v>90.5</v>
      </c>
      <c r="L51" s="585">
        <v>1689</v>
      </c>
      <c r="M51" s="782">
        <v>1452</v>
      </c>
      <c r="N51" s="583">
        <v>202</v>
      </c>
      <c r="O51" s="783" t="s">
        <v>153</v>
      </c>
      <c r="P51" s="1632">
        <v>240704</v>
      </c>
      <c r="Q51" s="1634">
        <v>1192</v>
      </c>
      <c r="R51" s="583">
        <v>2611</v>
      </c>
      <c r="S51" s="584">
        <v>15.8</v>
      </c>
      <c r="T51" s="585">
        <v>629130</v>
      </c>
      <c r="U51" s="1634">
        <v>241</v>
      </c>
      <c r="W51" s="583">
        <v>9294000</v>
      </c>
      <c r="X51" s="1634">
        <v>5261</v>
      </c>
    </row>
    <row r="52" spans="1:24" s="593" customFormat="1" ht="15.75" customHeight="1">
      <c r="A52" s="779" t="s">
        <v>223</v>
      </c>
      <c r="B52" s="587">
        <v>25</v>
      </c>
      <c r="C52" s="589">
        <v>2465</v>
      </c>
      <c r="D52" s="589">
        <v>13941</v>
      </c>
      <c r="E52" s="589">
        <f>F52+H52+J52</f>
        <v>177330</v>
      </c>
      <c r="F52" s="589">
        <v>181</v>
      </c>
      <c r="G52" s="588">
        <v>0.10206958777420629</v>
      </c>
      <c r="H52" s="589">
        <v>36648</v>
      </c>
      <c r="I52" s="588">
        <v>20.666553882591778</v>
      </c>
      <c r="J52" s="1653">
        <v>140501</v>
      </c>
      <c r="K52" s="1654">
        <v>79.231376529634019</v>
      </c>
      <c r="L52" s="589">
        <v>1452</v>
      </c>
      <c r="M52" s="572">
        <v>1836</v>
      </c>
      <c r="N52" s="587">
        <v>521</v>
      </c>
      <c r="O52" s="573" t="s">
        <v>153</v>
      </c>
      <c r="P52" s="1653">
        <v>1266037</v>
      </c>
      <c r="Q52" s="1638">
        <f>P52/N52</f>
        <v>2430.0134357005759</v>
      </c>
      <c r="R52" s="587">
        <v>3305</v>
      </c>
      <c r="S52" s="588">
        <v>-6.161272004542873</v>
      </c>
      <c r="T52" s="589">
        <v>1120865</v>
      </c>
      <c r="U52" s="1638">
        <f>T52/R52</f>
        <v>339.14220877458399</v>
      </c>
      <c r="W52" s="587">
        <v>5629460</v>
      </c>
      <c r="X52" s="1638">
        <v>3561</v>
      </c>
    </row>
    <row r="53" spans="1:24" s="593" customFormat="1" ht="15.75" customHeight="1">
      <c r="A53" s="795" t="s">
        <v>276</v>
      </c>
      <c r="B53" s="583">
        <v>105</v>
      </c>
      <c r="C53" s="585">
        <v>1234</v>
      </c>
      <c r="D53" s="585">
        <v>6556</v>
      </c>
      <c r="E53" s="585">
        <v>80535</v>
      </c>
      <c r="F53" s="585">
        <v>864</v>
      </c>
      <c r="G53" s="584">
        <v>1.1000000000000001</v>
      </c>
      <c r="H53" s="585">
        <v>17317</v>
      </c>
      <c r="I53" s="584">
        <v>21.5</v>
      </c>
      <c r="J53" s="1632">
        <v>62354</v>
      </c>
      <c r="K53" s="1633">
        <v>77.400000000000006</v>
      </c>
      <c r="L53" s="585">
        <v>4273</v>
      </c>
      <c r="M53" s="782">
        <v>3423</v>
      </c>
      <c r="N53" s="583">
        <v>248</v>
      </c>
      <c r="O53" s="783" t="s">
        <v>153</v>
      </c>
      <c r="P53" s="1632">
        <v>243439</v>
      </c>
      <c r="Q53" s="1634">
        <v>982</v>
      </c>
      <c r="R53" s="583">
        <v>1743</v>
      </c>
      <c r="S53" s="584">
        <v>-6.8</v>
      </c>
      <c r="T53" s="585">
        <v>452652</v>
      </c>
      <c r="U53" s="1634">
        <v>260</v>
      </c>
      <c r="W53" s="583">
        <v>6275159</v>
      </c>
      <c r="X53" s="1634">
        <v>2848</v>
      </c>
    </row>
    <row r="54" spans="1:24" s="593" customFormat="1" ht="15.75" customHeight="1">
      <c r="A54" s="779" t="s">
        <v>277</v>
      </c>
      <c r="B54" s="594">
        <v>68</v>
      </c>
      <c r="C54" s="595">
        <v>1304</v>
      </c>
      <c r="D54" s="595">
        <v>8053</v>
      </c>
      <c r="E54" s="595">
        <v>96193</v>
      </c>
      <c r="F54" s="595">
        <v>790</v>
      </c>
      <c r="G54" s="596">
        <v>0.8</v>
      </c>
      <c r="H54" s="595">
        <v>15703</v>
      </c>
      <c r="I54" s="596">
        <v>16.3</v>
      </c>
      <c r="J54" s="1635">
        <v>79700</v>
      </c>
      <c r="K54" s="1636">
        <v>82.9</v>
      </c>
      <c r="L54" s="595">
        <v>2658</v>
      </c>
      <c r="M54" s="597">
        <v>1694</v>
      </c>
      <c r="N54" s="594">
        <v>222</v>
      </c>
      <c r="O54" s="786" t="s">
        <v>153</v>
      </c>
      <c r="P54" s="1635">
        <v>126367</v>
      </c>
      <c r="Q54" s="1637">
        <v>569</v>
      </c>
      <c r="R54" s="587">
        <v>1937</v>
      </c>
      <c r="S54" s="588">
        <v>-10.7</v>
      </c>
      <c r="T54" s="589">
        <v>648010</v>
      </c>
      <c r="U54" s="1638">
        <v>334</v>
      </c>
      <c r="W54" s="594">
        <v>7163646</v>
      </c>
      <c r="X54" s="1638">
        <v>4681</v>
      </c>
    </row>
    <row r="55" spans="1:24" s="593" customFormat="1" ht="15.75" customHeight="1">
      <c r="A55" s="795" t="s">
        <v>226</v>
      </c>
      <c r="B55" s="581">
        <v>45</v>
      </c>
      <c r="C55" s="578">
        <v>3536</v>
      </c>
      <c r="D55" s="1666">
        <v>14181</v>
      </c>
      <c r="E55" s="1666">
        <v>213652</v>
      </c>
      <c r="F55" s="578">
        <v>408</v>
      </c>
      <c r="G55" s="579">
        <v>0.18704999999999999</v>
      </c>
      <c r="H55" s="578">
        <v>59122</v>
      </c>
      <c r="I55" s="579">
        <v>27.1053</v>
      </c>
      <c r="J55" s="1640">
        <v>158590</v>
      </c>
      <c r="K55" s="1641">
        <v>72.707700000000003</v>
      </c>
      <c r="L55" s="578">
        <v>2312</v>
      </c>
      <c r="M55" s="580">
        <v>2327</v>
      </c>
      <c r="N55" s="581">
        <v>707</v>
      </c>
      <c r="O55" s="582" t="s">
        <v>148</v>
      </c>
      <c r="P55" s="1640">
        <v>3473613</v>
      </c>
      <c r="Q55" s="1642">
        <v>4913.1725601131538</v>
      </c>
      <c r="R55" s="583">
        <v>3597</v>
      </c>
      <c r="S55" s="584">
        <v>-5.5</v>
      </c>
      <c r="T55" s="585">
        <v>1020655</v>
      </c>
      <c r="U55" s="1634">
        <v>283.75170000000003</v>
      </c>
      <c r="W55" s="581">
        <v>3364000</v>
      </c>
      <c r="X55" s="1634">
        <v>5681</v>
      </c>
    </row>
    <row r="56" spans="1:24" s="593" customFormat="1" ht="15.75" customHeight="1">
      <c r="A56" s="779" t="s">
        <v>278</v>
      </c>
      <c r="B56" s="594">
        <v>51</v>
      </c>
      <c r="C56" s="595">
        <v>1613</v>
      </c>
      <c r="D56" s="595">
        <v>7038</v>
      </c>
      <c r="E56" s="595">
        <v>85730</v>
      </c>
      <c r="F56" s="595">
        <v>513</v>
      </c>
      <c r="G56" s="596">
        <v>0.6</v>
      </c>
      <c r="H56" s="595">
        <v>26221</v>
      </c>
      <c r="I56" s="596">
        <v>30.6</v>
      </c>
      <c r="J56" s="1635">
        <v>58996</v>
      </c>
      <c r="K56" s="1636">
        <v>68.8</v>
      </c>
      <c r="L56" s="595">
        <v>580</v>
      </c>
      <c r="M56" s="597">
        <v>989</v>
      </c>
      <c r="N56" s="594">
        <v>430</v>
      </c>
      <c r="O56" s="786" t="s">
        <v>153</v>
      </c>
      <c r="P56" s="1635">
        <v>969370</v>
      </c>
      <c r="Q56" s="1637">
        <v>2254</v>
      </c>
      <c r="R56" s="587">
        <v>1967</v>
      </c>
      <c r="S56" s="588">
        <v>-11.9</v>
      </c>
      <c r="T56" s="589">
        <v>343243</v>
      </c>
      <c r="U56" s="1638">
        <v>175</v>
      </c>
      <c r="W56" s="594">
        <v>1794600</v>
      </c>
      <c r="X56" s="1638">
        <v>1854</v>
      </c>
    </row>
    <row r="57" spans="1:24" s="593" customFormat="1" ht="15.75" customHeight="1">
      <c r="A57" s="795" t="s">
        <v>228</v>
      </c>
      <c r="B57" s="581">
        <v>51</v>
      </c>
      <c r="C57" s="578">
        <v>4151</v>
      </c>
      <c r="D57" s="578">
        <v>16151</v>
      </c>
      <c r="E57" s="578">
        <v>213285</v>
      </c>
      <c r="F57" s="578">
        <v>616</v>
      </c>
      <c r="G57" s="579">
        <v>0.28881543474693483</v>
      </c>
      <c r="H57" s="578">
        <v>59423</v>
      </c>
      <c r="I57" s="579">
        <v>27.860843472349206</v>
      </c>
      <c r="J57" s="1640">
        <v>153246</v>
      </c>
      <c r="K57" s="1641">
        <v>71.850341092903861</v>
      </c>
      <c r="L57" s="578">
        <v>991</v>
      </c>
      <c r="M57" s="580">
        <v>1382</v>
      </c>
      <c r="N57" s="581">
        <v>1136</v>
      </c>
      <c r="O57" s="582" t="s">
        <v>148</v>
      </c>
      <c r="P57" s="1640">
        <v>1496193</v>
      </c>
      <c r="Q57" s="1642">
        <v>1317.0713028169014</v>
      </c>
      <c r="R57" s="583">
        <v>4180</v>
      </c>
      <c r="S57" s="584">
        <v>-23.274596182085169</v>
      </c>
      <c r="T57" s="585">
        <v>1481544</v>
      </c>
      <c r="U57" s="1634">
        <v>354.43636363636364</v>
      </c>
      <c r="W57" s="581">
        <v>3223000</v>
      </c>
      <c r="X57" s="1634">
        <v>4187</v>
      </c>
    </row>
    <row r="58" spans="1:24" s="593" customFormat="1" ht="15.75" customHeight="1">
      <c r="A58" s="779" t="s">
        <v>229</v>
      </c>
      <c r="B58" s="1389">
        <v>93</v>
      </c>
      <c r="C58" s="1668">
        <v>1633</v>
      </c>
      <c r="D58" s="1668">
        <v>9441</v>
      </c>
      <c r="E58" s="1668">
        <v>106896</v>
      </c>
      <c r="F58" s="1668">
        <v>1198</v>
      </c>
      <c r="G58" s="1669">
        <v>1.1200000000000001</v>
      </c>
      <c r="H58" s="1668">
        <v>23036</v>
      </c>
      <c r="I58" s="1669">
        <v>21.6</v>
      </c>
      <c r="J58" s="1670">
        <v>82662</v>
      </c>
      <c r="K58" s="1671">
        <v>77.328999999999994</v>
      </c>
      <c r="L58" s="601">
        <v>4401</v>
      </c>
      <c r="M58" s="807">
        <v>2645</v>
      </c>
      <c r="N58" s="515">
        <v>369</v>
      </c>
      <c r="O58" s="1672" t="s">
        <v>148</v>
      </c>
      <c r="P58" s="1600">
        <v>602260</v>
      </c>
      <c r="Q58" s="1631">
        <v>1632.1</v>
      </c>
      <c r="R58" s="515">
        <v>3005</v>
      </c>
      <c r="S58" s="602">
        <v>11.3</v>
      </c>
      <c r="T58" s="601">
        <v>547293</v>
      </c>
      <c r="U58" s="1631">
        <v>182</v>
      </c>
      <c r="W58" s="808">
        <v>4559370</v>
      </c>
      <c r="X58" s="1631">
        <v>3426</v>
      </c>
    </row>
    <row r="59" spans="1:24" s="593" customFormat="1" ht="15.75" customHeight="1">
      <c r="A59" s="795" t="s">
        <v>230</v>
      </c>
      <c r="B59" s="581">
        <v>111</v>
      </c>
      <c r="C59" s="578">
        <v>3107</v>
      </c>
      <c r="D59" s="578">
        <v>18545</v>
      </c>
      <c r="E59" s="578">
        <v>218022</v>
      </c>
      <c r="F59" s="578">
        <v>819</v>
      </c>
      <c r="G59" s="579">
        <v>0.4</v>
      </c>
      <c r="H59" s="578">
        <v>34602</v>
      </c>
      <c r="I59" s="579">
        <v>15.9</v>
      </c>
      <c r="J59" s="1640">
        <v>182601</v>
      </c>
      <c r="K59" s="1641">
        <v>83.7</v>
      </c>
      <c r="L59" s="578">
        <v>3364</v>
      </c>
      <c r="M59" s="580">
        <v>3700</v>
      </c>
      <c r="N59" s="581">
        <v>550</v>
      </c>
      <c r="O59" s="582" t="s">
        <v>148</v>
      </c>
      <c r="P59" s="1640">
        <v>392681</v>
      </c>
      <c r="Q59" s="1642">
        <v>714</v>
      </c>
      <c r="R59" s="583">
        <v>4632</v>
      </c>
      <c r="S59" s="584">
        <v>-4.7</v>
      </c>
      <c r="T59" s="585">
        <v>2168308</v>
      </c>
      <c r="U59" s="1634">
        <v>468</v>
      </c>
      <c r="W59" s="581">
        <v>5125375</v>
      </c>
      <c r="X59" s="1634">
        <v>7187</v>
      </c>
    </row>
    <row r="60" spans="1:24" s="593" customFormat="1" ht="15.75" customHeight="1">
      <c r="A60" s="779" t="s">
        <v>231</v>
      </c>
      <c r="B60" s="587">
        <v>62</v>
      </c>
      <c r="C60" s="589">
        <v>2672</v>
      </c>
      <c r="D60" s="589">
        <v>16763</v>
      </c>
      <c r="E60" s="589">
        <v>211343</v>
      </c>
      <c r="F60" s="589">
        <v>536</v>
      </c>
      <c r="G60" s="588">
        <v>0.2</v>
      </c>
      <c r="H60" s="589">
        <v>29713</v>
      </c>
      <c r="I60" s="588">
        <v>14.1</v>
      </c>
      <c r="J60" s="1653">
        <v>181094</v>
      </c>
      <c r="K60" s="1654">
        <v>85.7</v>
      </c>
      <c r="L60" s="589">
        <v>2764</v>
      </c>
      <c r="M60" s="572">
        <v>2845</v>
      </c>
      <c r="N60" s="587">
        <v>838</v>
      </c>
      <c r="O60" s="573" t="s">
        <v>153</v>
      </c>
      <c r="P60" s="1653">
        <v>438876</v>
      </c>
      <c r="Q60" s="1638">
        <v>548</v>
      </c>
      <c r="R60" s="587">
        <v>4805</v>
      </c>
      <c r="S60" s="588">
        <v>-12.9</v>
      </c>
      <c r="T60" s="589">
        <v>1791715</v>
      </c>
      <c r="U60" s="1638">
        <v>395</v>
      </c>
      <c r="W60" s="575">
        <v>4785600</v>
      </c>
      <c r="X60" s="1638">
        <v>8956</v>
      </c>
    </row>
    <row r="61" spans="1:24" s="593" customFormat="1" ht="15.75" customHeight="1">
      <c r="A61" s="795" t="s">
        <v>232</v>
      </c>
      <c r="B61" s="583">
        <v>55</v>
      </c>
      <c r="C61" s="585">
        <v>1932</v>
      </c>
      <c r="D61" s="585">
        <v>13674</v>
      </c>
      <c r="E61" s="585">
        <v>145501</v>
      </c>
      <c r="F61" s="585">
        <v>549</v>
      </c>
      <c r="G61" s="584">
        <v>0.37731699438491834</v>
      </c>
      <c r="H61" s="585">
        <v>19681</v>
      </c>
      <c r="I61" s="584">
        <v>13.526367516374457</v>
      </c>
      <c r="J61" s="1632">
        <v>125271</v>
      </c>
      <c r="K61" s="1633">
        <v>86.096315489240624</v>
      </c>
      <c r="L61" s="585">
        <v>1572</v>
      </c>
      <c r="M61" s="782">
        <v>1332</v>
      </c>
      <c r="N61" s="583">
        <v>298</v>
      </c>
      <c r="O61" s="783" t="s">
        <v>148</v>
      </c>
      <c r="P61" s="1632">
        <v>164100</v>
      </c>
      <c r="Q61" s="1634">
        <v>550.67114093959731</v>
      </c>
      <c r="R61" s="583">
        <v>3450</v>
      </c>
      <c r="S61" s="584">
        <v>-3.6</v>
      </c>
      <c r="T61" s="585" t="s">
        <v>428</v>
      </c>
      <c r="U61" s="1634">
        <v>234.48782608695652</v>
      </c>
      <c r="W61" s="583">
        <v>2780000</v>
      </c>
      <c r="X61" s="1634">
        <v>6048</v>
      </c>
    </row>
    <row r="62" spans="1:24" s="593" customFormat="1" ht="15.75" customHeight="1">
      <c r="A62" s="779" t="s">
        <v>234</v>
      </c>
      <c r="B62" s="594">
        <v>132</v>
      </c>
      <c r="C62" s="595">
        <v>1903</v>
      </c>
      <c r="D62" s="595">
        <v>11116</v>
      </c>
      <c r="E62" s="595">
        <v>135981</v>
      </c>
      <c r="F62" s="595">
        <v>1656</v>
      </c>
      <c r="G62" s="596">
        <v>1.3</v>
      </c>
      <c r="H62" s="595">
        <v>21464</v>
      </c>
      <c r="I62" s="596">
        <v>15.8</v>
      </c>
      <c r="J62" s="1635">
        <v>112861</v>
      </c>
      <c r="K62" s="1636">
        <v>83</v>
      </c>
      <c r="L62" s="595">
        <v>7290</v>
      </c>
      <c r="M62" s="597">
        <v>2834</v>
      </c>
      <c r="N62" s="594">
        <v>314</v>
      </c>
      <c r="O62" s="786" t="s">
        <v>153</v>
      </c>
      <c r="P62" s="1635">
        <v>297357</v>
      </c>
      <c r="Q62" s="1637">
        <v>946</v>
      </c>
      <c r="R62" s="587">
        <v>2826</v>
      </c>
      <c r="S62" s="588">
        <v>-6.7</v>
      </c>
      <c r="T62" s="589">
        <v>760431</v>
      </c>
      <c r="U62" s="1638">
        <v>269</v>
      </c>
      <c r="W62" s="594">
        <v>4355617</v>
      </c>
      <c r="X62" s="1638">
        <v>2610</v>
      </c>
    </row>
    <row r="63" spans="1:24" s="593" customFormat="1" ht="15.75" customHeight="1">
      <c r="A63" s="795" t="s">
        <v>236</v>
      </c>
      <c r="B63" s="556">
        <v>61</v>
      </c>
      <c r="C63" s="555">
        <v>2144</v>
      </c>
      <c r="D63" s="555">
        <v>15488</v>
      </c>
      <c r="E63" s="555">
        <f>SUM(F63,H63,J63)</f>
        <v>180782</v>
      </c>
      <c r="F63" s="809">
        <v>848</v>
      </c>
      <c r="G63" s="1408">
        <f>ROUNDDOWN(F63/$E$63*100,2)</f>
        <v>0.46</v>
      </c>
      <c r="H63" s="555">
        <v>26142</v>
      </c>
      <c r="I63" s="1408">
        <f>ROUNDDOWN(H63/$E$63*100,2)-0.1</f>
        <v>14.360000000000001</v>
      </c>
      <c r="J63" s="555">
        <v>153792</v>
      </c>
      <c r="K63" s="810">
        <f>ROUNDDOWN(J63/$E$63*100,2)</f>
        <v>85.07</v>
      </c>
      <c r="L63" s="555">
        <v>688</v>
      </c>
      <c r="M63" s="1431">
        <v>986</v>
      </c>
      <c r="N63" s="554">
        <v>312</v>
      </c>
      <c r="O63" s="783" t="s">
        <v>153</v>
      </c>
      <c r="P63" s="1632">
        <v>445054</v>
      </c>
      <c r="Q63" s="1634">
        <f>P63/N63</f>
        <v>1426.4551282051282</v>
      </c>
      <c r="R63" s="556">
        <v>4478</v>
      </c>
      <c r="S63" s="1673">
        <f>ROUND((4478-5216)/5216*100,2)</f>
        <v>-14.15</v>
      </c>
      <c r="T63" s="555">
        <v>1015958</v>
      </c>
      <c r="U63" s="641">
        <f>T63/R63</f>
        <v>226.8776239392586</v>
      </c>
      <c r="V63" s="709"/>
      <c r="W63" s="556">
        <v>4048800</v>
      </c>
      <c r="X63" s="1431">
        <v>7486</v>
      </c>
    </row>
    <row r="64" spans="1:24" s="593" customFormat="1" ht="15.75" customHeight="1">
      <c r="A64" s="779" t="s">
        <v>279</v>
      </c>
      <c r="B64" s="804">
        <v>78</v>
      </c>
      <c r="C64" s="595">
        <v>1502</v>
      </c>
      <c r="D64" s="595">
        <v>8417</v>
      </c>
      <c r="E64" s="589">
        <v>93968</v>
      </c>
      <c r="F64" s="589">
        <v>1098</v>
      </c>
      <c r="G64" s="588">
        <v>1.2</v>
      </c>
      <c r="H64" s="595">
        <v>16646</v>
      </c>
      <c r="I64" s="596">
        <v>17.7</v>
      </c>
      <c r="J64" s="595">
        <v>76224</v>
      </c>
      <c r="K64" s="1636">
        <v>81.099999999999994</v>
      </c>
      <c r="L64" s="595">
        <v>2592</v>
      </c>
      <c r="M64" s="1637">
        <v>1859</v>
      </c>
      <c r="N64" s="594">
        <v>249</v>
      </c>
      <c r="O64" s="573" t="s">
        <v>153</v>
      </c>
      <c r="P64" s="1635">
        <v>182627</v>
      </c>
      <c r="Q64" s="1637">
        <v>733</v>
      </c>
      <c r="R64" s="587">
        <v>2234</v>
      </c>
      <c r="S64" s="588">
        <v>-10.7</v>
      </c>
      <c r="T64" s="589">
        <v>479006</v>
      </c>
      <c r="U64" s="1638">
        <v>214</v>
      </c>
      <c r="W64" s="811">
        <v>4303727</v>
      </c>
      <c r="X64" s="1638">
        <v>5105</v>
      </c>
    </row>
    <row r="65" spans="1:24" s="593" customFormat="1" ht="15.75" customHeight="1">
      <c r="A65" s="795" t="s">
        <v>238</v>
      </c>
      <c r="B65" s="812">
        <v>85</v>
      </c>
      <c r="C65" s="577">
        <v>2808</v>
      </c>
      <c r="D65" s="577">
        <v>16630</v>
      </c>
      <c r="E65" s="577">
        <v>223616</v>
      </c>
      <c r="F65" s="813">
        <v>1104</v>
      </c>
      <c r="G65" s="1540">
        <v>0.49</v>
      </c>
      <c r="H65" s="577">
        <v>42984</v>
      </c>
      <c r="I65" s="1540">
        <v>19.2</v>
      </c>
      <c r="J65" s="577">
        <v>179528</v>
      </c>
      <c r="K65" s="814">
        <v>80.3</v>
      </c>
      <c r="L65" s="577">
        <v>1740</v>
      </c>
      <c r="M65" s="1442">
        <v>1650</v>
      </c>
      <c r="N65" s="576">
        <v>375</v>
      </c>
      <c r="O65" s="582" t="s">
        <v>153</v>
      </c>
      <c r="P65" s="1640">
        <v>2340543</v>
      </c>
      <c r="Q65" s="1642">
        <v>6241</v>
      </c>
      <c r="R65" s="556">
        <v>4006</v>
      </c>
      <c r="S65" s="584">
        <v>-4.5999999999999996</v>
      </c>
      <c r="T65" s="555">
        <v>1413291</v>
      </c>
      <c r="U65" s="641">
        <v>352.7</v>
      </c>
      <c r="V65" s="709"/>
      <c r="W65" s="812">
        <v>3530978</v>
      </c>
      <c r="X65" s="1431">
        <v>6005</v>
      </c>
    </row>
    <row r="66" spans="1:24" s="593" customFormat="1" ht="15.75" customHeight="1">
      <c r="A66" s="779" t="s">
        <v>239</v>
      </c>
      <c r="B66" s="599">
        <v>173</v>
      </c>
      <c r="C66" s="600">
        <v>2158</v>
      </c>
      <c r="D66" s="600">
        <v>15263</v>
      </c>
      <c r="E66" s="601">
        <v>177165</v>
      </c>
      <c r="F66" s="601">
        <v>1926</v>
      </c>
      <c r="G66" s="602">
        <v>1.1000000000000001</v>
      </c>
      <c r="H66" s="600">
        <v>25276</v>
      </c>
      <c r="I66" s="603">
        <v>14.3</v>
      </c>
      <c r="J66" s="600">
        <v>149963</v>
      </c>
      <c r="K66" s="1629">
        <v>84.6</v>
      </c>
      <c r="L66" s="600">
        <v>4959</v>
      </c>
      <c r="M66" s="1630">
        <v>3009</v>
      </c>
      <c r="N66" s="604">
        <v>299</v>
      </c>
      <c r="O66" s="605" t="s">
        <v>148</v>
      </c>
      <c r="P66" s="1628">
        <v>268909</v>
      </c>
      <c r="Q66" s="1630">
        <v>899</v>
      </c>
      <c r="R66" s="515">
        <v>3794</v>
      </c>
      <c r="S66" s="602">
        <v>-20.399999999999999</v>
      </c>
      <c r="T66" s="601">
        <v>1444144</v>
      </c>
      <c r="U66" s="1631">
        <v>381</v>
      </c>
      <c r="V66" s="710"/>
      <c r="W66" s="599">
        <v>4810000</v>
      </c>
      <c r="X66" s="1631">
        <v>8244</v>
      </c>
    </row>
    <row r="67" spans="1:24" s="593" customFormat="1" ht="15.75" customHeight="1">
      <c r="A67" s="795" t="s">
        <v>241</v>
      </c>
      <c r="B67" s="815">
        <v>90</v>
      </c>
      <c r="C67" s="578">
        <v>3442</v>
      </c>
      <c r="D67" s="578">
        <v>23063</v>
      </c>
      <c r="E67" s="578">
        <v>274681</v>
      </c>
      <c r="F67" s="578">
        <v>1241</v>
      </c>
      <c r="G67" s="579">
        <v>0.5</v>
      </c>
      <c r="H67" s="578">
        <v>36273</v>
      </c>
      <c r="I67" s="579">
        <v>13.2</v>
      </c>
      <c r="J67" s="578">
        <v>237167</v>
      </c>
      <c r="K67" s="1641">
        <v>86.3</v>
      </c>
      <c r="L67" s="578">
        <v>949</v>
      </c>
      <c r="M67" s="1642">
        <v>969</v>
      </c>
      <c r="N67" s="581">
        <v>466</v>
      </c>
      <c r="O67" s="582" t="s">
        <v>153</v>
      </c>
      <c r="P67" s="1640">
        <v>338743</v>
      </c>
      <c r="Q67" s="1642">
        <v>727</v>
      </c>
      <c r="R67" s="583">
        <v>5885</v>
      </c>
      <c r="S67" s="584">
        <v>-3.6</v>
      </c>
      <c r="T67" s="585">
        <v>2221043</v>
      </c>
      <c r="U67" s="1634">
        <v>377</v>
      </c>
      <c r="W67" s="581">
        <v>7177000</v>
      </c>
      <c r="X67" s="1634">
        <v>9903</v>
      </c>
    </row>
    <row r="68" spans="1:24" s="593" customFormat="1" ht="15.75" customHeight="1" thickBot="1">
      <c r="A68" s="779" t="s">
        <v>243</v>
      </c>
      <c r="B68" s="804">
        <v>25</v>
      </c>
      <c r="C68" s="595">
        <v>1176</v>
      </c>
      <c r="D68" s="595">
        <v>15721</v>
      </c>
      <c r="E68" s="595">
        <v>167512</v>
      </c>
      <c r="F68" s="595">
        <v>212</v>
      </c>
      <c r="G68" s="596">
        <v>0.1</v>
      </c>
      <c r="H68" s="595">
        <v>12305</v>
      </c>
      <c r="I68" s="596">
        <v>7.3</v>
      </c>
      <c r="J68" s="595">
        <v>154995</v>
      </c>
      <c r="K68" s="1636">
        <v>92.5</v>
      </c>
      <c r="L68" s="595">
        <v>56</v>
      </c>
      <c r="M68" s="1637">
        <v>72</v>
      </c>
      <c r="N68" s="594">
        <v>75</v>
      </c>
      <c r="O68" s="786" t="s">
        <v>153</v>
      </c>
      <c r="P68" s="1635">
        <v>31537</v>
      </c>
      <c r="Q68" s="1637">
        <v>420</v>
      </c>
      <c r="R68" s="587">
        <v>3167</v>
      </c>
      <c r="S68" s="588">
        <v>-27.8</v>
      </c>
      <c r="T68" s="589">
        <v>826864</v>
      </c>
      <c r="U68" s="1665">
        <v>261</v>
      </c>
      <c r="W68" s="804">
        <v>5105984</v>
      </c>
      <c r="X68" s="1638">
        <v>494</v>
      </c>
    </row>
    <row r="69" spans="1:24" ht="15.75" customHeight="1" thickTop="1">
      <c r="A69" s="816" t="s">
        <v>244</v>
      </c>
      <c r="B69" s="817">
        <f>SUM(B7:B68)</f>
        <v>3794</v>
      </c>
      <c r="C69" s="818">
        <f>SUM(C7:C68)</f>
        <v>147788</v>
      </c>
      <c r="D69" s="818">
        <f>SUM(D7:D68)</f>
        <v>760689</v>
      </c>
      <c r="E69" s="818">
        <f>SUM(E7:E68)</f>
        <v>9897703</v>
      </c>
      <c r="F69" s="818">
        <f>SUM(F7:F68)</f>
        <v>44078</v>
      </c>
      <c r="G69" s="819" t="s">
        <v>153</v>
      </c>
      <c r="H69" s="818">
        <f>SUM(H7:H68)</f>
        <v>2004297</v>
      </c>
      <c r="I69" s="819" t="s">
        <v>153</v>
      </c>
      <c r="J69" s="818">
        <f>SUM(J7:J68)</f>
        <v>7853796</v>
      </c>
      <c r="K69" s="820" t="s">
        <v>153</v>
      </c>
      <c r="L69" s="818">
        <f>SUM(L7:L68)</f>
        <v>174898.7</v>
      </c>
      <c r="M69" s="821">
        <f>SUM(M7:M68)</f>
        <v>99492</v>
      </c>
      <c r="N69" s="822">
        <f>SUM(N7:N68)</f>
        <v>28310</v>
      </c>
      <c r="O69" s="819" t="s">
        <v>153</v>
      </c>
      <c r="P69" s="818">
        <f>SUM(P7:P68)</f>
        <v>54133831.960000001</v>
      </c>
      <c r="Q69" s="823">
        <f>SUM(Q7:Q68)</f>
        <v>108981.30693875461</v>
      </c>
      <c r="R69" s="817">
        <f>SUM(R7:R68)</f>
        <v>185633</v>
      </c>
      <c r="S69" s="819" t="s">
        <v>153</v>
      </c>
      <c r="T69" s="818">
        <f>SUM(T7:T68)</f>
        <v>67996598</v>
      </c>
      <c r="U69" s="824">
        <f>SUM(U7:U68)</f>
        <v>22733.634368432511</v>
      </c>
      <c r="V69" s="825"/>
      <c r="W69" s="826">
        <f>SUM(W7:W68)</f>
        <v>340433149</v>
      </c>
      <c r="X69" s="821">
        <f>SUM(X7:X68)</f>
        <v>253974</v>
      </c>
    </row>
    <row r="70" spans="1:24" ht="15.75" customHeight="1">
      <c r="A70" s="779" t="s">
        <v>429</v>
      </c>
      <c r="B70" s="827">
        <f t="shared" ref="B70:R70" si="0">AVERAGE(B7:B68)</f>
        <v>61.193548387096776</v>
      </c>
      <c r="C70" s="570">
        <f t="shared" si="0"/>
        <v>2383.6774193548385</v>
      </c>
      <c r="D70" s="570">
        <f t="shared" si="0"/>
        <v>12269.177419354839</v>
      </c>
      <c r="E70" s="570">
        <f t="shared" si="0"/>
        <v>159640.37096774194</v>
      </c>
      <c r="F70" s="570">
        <f t="shared" si="0"/>
        <v>710.93548387096769</v>
      </c>
      <c r="G70" s="828">
        <f t="shared" si="0"/>
        <v>0.46913385479807318</v>
      </c>
      <c r="H70" s="570">
        <f t="shared" si="0"/>
        <v>32327.370967741936</v>
      </c>
      <c r="I70" s="828">
        <f t="shared" si="0"/>
        <v>19.909790316209129</v>
      </c>
      <c r="J70" s="570">
        <f t="shared" si="0"/>
        <v>126674.12903225806</v>
      </c>
      <c r="K70" s="1674">
        <f t="shared" si="0"/>
        <v>79.620450557277834</v>
      </c>
      <c r="L70" s="570">
        <f t="shared" si="0"/>
        <v>2820.9467741935487</v>
      </c>
      <c r="M70" s="1675">
        <f t="shared" si="0"/>
        <v>1604.7096774193549</v>
      </c>
      <c r="N70" s="574">
        <f t="shared" si="0"/>
        <v>456.61290322580646</v>
      </c>
      <c r="O70" s="588" t="s">
        <v>153</v>
      </c>
      <c r="P70" s="570">
        <f t="shared" si="0"/>
        <v>873126.32193548384</v>
      </c>
      <c r="Q70" s="829">
        <f t="shared" si="0"/>
        <v>1757.7630151412034</v>
      </c>
      <c r="R70" s="827">
        <f t="shared" si="0"/>
        <v>2994.0806451612902</v>
      </c>
      <c r="S70" s="828">
        <f>AVERAGE(S7:S68)</f>
        <v>-6.9514717625679276</v>
      </c>
      <c r="T70" s="570">
        <f>AVERAGE(T7:T68)</f>
        <v>1114698.3278688525</v>
      </c>
      <c r="U70" s="830">
        <f>AVERAGE(U7:U68)</f>
        <v>366.67152207149212</v>
      </c>
      <c r="V70" s="765"/>
      <c r="W70" s="587" t="s">
        <v>153</v>
      </c>
      <c r="X70" s="1675">
        <f>AVERAGE(X7:X68)</f>
        <v>4096.3548387096771</v>
      </c>
    </row>
    <row r="71" spans="1:24" s="836" customFormat="1" ht="13.95" customHeight="1">
      <c r="A71" s="831" t="s">
        <v>246</v>
      </c>
      <c r="B71" s="832"/>
      <c r="C71" s="832"/>
      <c r="D71" s="832"/>
      <c r="E71" s="832"/>
      <c r="F71" s="832"/>
      <c r="G71" s="832"/>
      <c r="H71" s="832"/>
      <c r="I71" s="832"/>
      <c r="J71" s="832"/>
      <c r="K71" s="832"/>
      <c r="L71" s="832"/>
      <c r="M71" s="833"/>
      <c r="N71" s="1990" t="s">
        <v>430</v>
      </c>
      <c r="O71" s="1990"/>
      <c r="P71" s="1990"/>
      <c r="Q71" s="1990"/>
      <c r="R71" s="832"/>
      <c r="S71" s="834"/>
      <c r="T71" s="835"/>
      <c r="U71" s="835"/>
      <c r="W71" s="837"/>
      <c r="X71" s="835"/>
    </row>
    <row r="72" spans="1:24" ht="15.6">
      <c r="R72" s="838"/>
      <c r="S72" s="839"/>
      <c r="T72" s="542"/>
      <c r="U72" s="542"/>
      <c r="W72" s="542"/>
      <c r="X72" s="542"/>
    </row>
    <row r="73" spans="1:24" ht="15.6">
      <c r="R73" s="838"/>
      <c r="S73" s="839"/>
      <c r="T73" s="542"/>
      <c r="U73" s="542"/>
      <c r="W73" s="542"/>
      <c r="X73" s="542"/>
    </row>
    <row r="74" spans="1:24" ht="15.6">
      <c r="R74" s="838"/>
      <c r="S74" s="839"/>
      <c r="T74" s="542"/>
      <c r="U74" s="542"/>
      <c r="W74" s="542"/>
      <c r="X74" s="542"/>
    </row>
    <row r="75" spans="1:24" ht="15.6">
      <c r="R75" s="838"/>
      <c r="S75" s="839"/>
      <c r="T75" s="542"/>
      <c r="U75" s="542"/>
      <c r="W75" s="542"/>
      <c r="X75" s="542"/>
    </row>
    <row r="76" spans="1:24" ht="15.6">
      <c r="C76" s="909"/>
      <c r="R76" s="838"/>
      <c r="S76" s="839"/>
      <c r="T76" s="542"/>
      <c r="U76" s="542"/>
      <c r="W76" s="542"/>
      <c r="X76" s="542"/>
    </row>
    <row r="77" spans="1:24" ht="15.6">
      <c r="R77" s="838"/>
      <c r="S77" s="839"/>
      <c r="T77" s="542"/>
      <c r="U77" s="542"/>
      <c r="W77" s="542"/>
      <c r="X77" s="542"/>
    </row>
    <row r="78" spans="1:24" ht="15.6">
      <c r="R78" s="838"/>
      <c r="S78" s="621"/>
      <c r="T78" s="542"/>
      <c r="U78" s="542"/>
      <c r="W78" s="542"/>
      <c r="X78" s="542"/>
    </row>
    <row r="79" spans="1:24" ht="15.6">
      <c r="R79" s="838"/>
      <c r="S79" s="839"/>
      <c r="T79" s="542"/>
      <c r="U79" s="542"/>
      <c r="W79" s="542"/>
      <c r="X79" s="542"/>
    </row>
    <row r="80" spans="1:24" ht="15.6">
      <c r="R80" s="838"/>
      <c r="S80" s="839"/>
      <c r="T80" s="542"/>
      <c r="U80" s="542"/>
      <c r="W80" s="542"/>
      <c r="X80" s="542"/>
    </row>
    <row r="81" spans="18:24" ht="15.6">
      <c r="R81" s="838"/>
      <c r="S81" s="839"/>
      <c r="T81" s="542"/>
      <c r="U81" s="542"/>
      <c r="W81" s="542"/>
      <c r="X81" s="542"/>
    </row>
    <row r="82" spans="18:24" ht="15.6">
      <c r="R82" s="838"/>
      <c r="S82" s="839"/>
      <c r="T82" s="542"/>
      <c r="U82" s="542"/>
      <c r="W82" s="542"/>
      <c r="X82" s="542"/>
    </row>
    <row r="83" spans="18:24" ht="15.6">
      <c r="R83" s="838"/>
      <c r="S83" s="839"/>
      <c r="T83" s="542"/>
      <c r="U83" s="542"/>
      <c r="W83" s="542"/>
      <c r="X83" s="542"/>
    </row>
    <row r="84" spans="18:24" ht="15.6">
      <c r="R84" s="838"/>
      <c r="S84" s="839"/>
      <c r="T84" s="542"/>
      <c r="U84" s="542"/>
      <c r="W84" s="542"/>
      <c r="X84" s="542"/>
    </row>
    <row r="85" spans="18:24" ht="15.6">
      <c r="R85" s="838"/>
      <c r="S85" s="839"/>
      <c r="T85" s="542"/>
      <c r="U85" s="542"/>
      <c r="W85" s="542"/>
      <c r="X85" s="542"/>
    </row>
    <row r="86" spans="18:24" ht="15.6">
      <c r="R86" s="838"/>
      <c r="S86" s="839"/>
      <c r="T86" s="542"/>
      <c r="U86" s="542"/>
      <c r="W86" s="542"/>
      <c r="X86" s="542"/>
    </row>
    <row r="87" spans="18:24" ht="15.6">
      <c r="R87" s="838"/>
      <c r="S87" s="839"/>
      <c r="T87" s="542"/>
      <c r="U87" s="542"/>
      <c r="W87" s="542"/>
      <c r="X87" s="542"/>
    </row>
    <row r="88" spans="18:24" ht="15.6">
      <c r="R88" s="838"/>
      <c r="S88" s="839"/>
      <c r="T88" s="542"/>
      <c r="U88" s="542"/>
      <c r="W88" s="542"/>
      <c r="X88" s="542"/>
    </row>
    <row r="89" spans="18:24" ht="15.6">
      <c r="R89" s="838"/>
      <c r="S89" s="839"/>
      <c r="T89" s="542"/>
      <c r="U89" s="542"/>
      <c r="W89" s="542"/>
      <c r="X89" s="542"/>
    </row>
    <row r="90" spans="18:24" ht="15.6">
      <c r="R90" s="838"/>
      <c r="S90" s="839"/>
      <c r="T90" s="542"/>
      <c r="U90" s="542"/>
      <c r="W90" s="542"/>
      <c r="X90" s="542"/>
    </row>
    <row r="91" spans="18:24" ht="15.6">
      <c r="R91" s="838"/>
      <c r="S91" s="621"/>
      <c r="T91" s="542"/>
      <c r="U91" s="542"/>
      <c r="W91" s="542"/>
      <c r="X91" s="542"/>
    </row>
    <row r="92" spans="18:24" ht="15.6">
      <c r="R92" s="838"/>
      <c r="S92" s="839"/>
      <c r="T92" s="542"/>
      <c r="U92" s="542"/>
      <c r="W92" s="542"/>
      <c r="X92" s="542"/>
    </row>
    <row r="93" spans="18:24" ht="15.6">
      <c r="R93" s="838"/>
      <c r="S93" s="839"/>
      <c r="T93" s="542"/>
      <c r="U93" s="542"/>
      <c r="W93" s="542"/>
      <c r="X93" s="542"/>
    </row>
    <row r="94" spans="18:24" ht="15.6">
      <c r="R94" s="838"/>
      <c r="S94" s="839"/>
      <c r="T94" s="542"/>
      <c r="U94" s="542"/>
      <c r="W94" s="542"/>
      <c r="X94" s="542"/>
    </row>
    <row r="95" spans="18:24" ht="15.6">
      <c r="R95" s="838"/>
      <c r="S95" s="839"/>
      <c r="T95" s="542"/>
      <c r="U95" s="542"/>
      <c r="W95" s="542"/>
      <c r="X95" s="542"/>
    </row>
    <row r="96" spans="18:24" ht="15.6">
      <c r="R96" s="838"/>
      <c r="S96" s="839"/>
      <c r="T96" s="542"/>
      <c r="U96" s="542"/>
      <c r="W96" s="542"/>
      <c r="X96" s="542"/>
    </row>
    <row r="97" spans="18:24" ht="15.6">
      <c r="R97" s="838"/>
      <c r="S97" s="839"/>
      <c r="T97" s="542"/>
      <c r="U97" s="542"/>
      <c r="W97" s="542"/>
      <c r="X97" s="542"/>
    </row>
    <row r="98" spans="18:24" ht="15.6">
      <c r="R98" s="838"/>
      <c r="S98" s="839"/>
      <c r="T98" s="542"/>
      <c r="U98" s="542"/>
      <c r="W98" s="542"/>
      <c r="X98" s="542"/>
    </row>
    <row r="99" spans="18:24" ht="15.6">
      <c r="R99" s="838"/>
      <c r="S99" s="839"/>
      <c r="T99" s="542"/>
      <c r="U99" s="542"/>
      <c r="W99" s="542"/>
      <c r="X99" s="542"/>
    </row>
    <row r="100" spans="18:24" ht="15.6">
      <c r="R100" s="838"/>
      <c r="S100" s="839"/>
      <c r="T100" s="542"/>
      <c r="U100" s="542"/>
      <c r="W100" s="542"/>
      <c r="X100" s="542"/>
    </row>
    <row r="101" spans="18:24" ht="15.6">
      <c r="R101" s="838"/>
      <c r="S101" s="839"/>
      <c r="T101" s="542"/>
      <c r="U101" s="542"/>
      <c r="W101" s="542"/>
      <c r="X101" s="542"/>
    </row>
    <row r="102" spans="18:24" ht="15.6">
      <c r="R102" s="838"/>
      <c r="S102" s="839"/>
      <c r="T102" s="542"/>
      <c r="U102" s="542"/>
      <c r="W102" s="542"/>
      <c r="X102" s="542"/>
    </row>
    <row r="103" spans="18:24" ht="15.6">
      <c r="R103" s="840"/>
      <c r="S103" s="841"/>
      <c r="T103" s="842"/>
      <c r="U103" s="842"/>
      <c r="W103" s="842"/>
      <c r="X103" s="842"/>
    </row>
    <row r="104" spans="18:24" ht="15.6">
      <c r="R104" s="838"/>
      <c r="S104" s="839"/>
      <c r="T104" s="542"/>
      <c r="U104" s="542"/>
      <c r="W104" s="542"/>
      <c r="X104" s="542"/>
    </row>
    <row r="105" spans="18:24" ht="15.6">
      <c r="R105" s="838"/>
      <c r="S105" s="839"/>
      <c r="T105" s="542"/>
      <c r="U105" s="542"/>
      <c r="W105" s="542"/>
      <c r="X105" s="542"/>
    </row>
    <row r="106" spans="18:24" ht="15.6">
      <c r="R106" s="838"/>
      <c r="S106" s="839"/>
      <c r="T106" s="542"/>
      <c r="U106" s="542"/>
      <c r="W106" s="542"/>
      <c r="X106" s="542"/>
    </row>
    <row r="131" spans="2:24" ht="27" customHeight="1">
      <c r="B131" s="1919"/>
      <c r="C131" s="1919"/>
      <c r="D131" s="1919"/>
      <c r="E131" s="1919"/>
      <c r="F131" s="1919"/>
      <c r="G131" s="1919"/>
      <c r="H131" s="1919"/>
      <c r="I131" s="1919"/>
      <c r="J131" s="1919"/>
      <c r="K131" s="1919"/>
      <c r="L131" s="1919"/>
      <c r="M131" s="1919"/>
      <c r="N131" s="1919"/>
      <c r="O131" s="1919"/>
      <c r="P131" s="1919"/>
      <c r="Q131" s="1919"/>
      <c r="R131" s="1919"/>
      <c r="S131" s="1919"/>
      <c r="T131" s="1919"/>
      <c r="U131" s="1919"/>
      <c r="V131" s="1919"/>
      <c r="W131" s="1919"/>
      <c r="X131" s="1919"/>
    </row>
  </sheetData>
  <customSheetViews>
    <customSheetView guid="{CFB8F6A3-286B-44DA-98E2-E06FA9DC17D9}" scale="90" showGridLines="0">
      <pane xSplit="1" ySplit="6" topLeftCell="B46" activePane="bottomRight" state="frozen"/>
      <selection pane="bottomRight" activeCell="A7" sqref="A7:A54"/>
      <colBreaks count="3" manualBreakCount="3">
        <brk id="11" max="71" man="1"/>
        <brk id="18" max="71" man="1"/>
        <brk id="31" max="1048575" man="1"/>
      </colBreaks>
      <pageMargins left="0" right="0" top="0" bottom="0" header="0" footer="0"/>
      <pageSetup paperSize="9" scale="80" firstPageNumber="12" fitToWidth="3" orientation="portrait" useFirstPageNumber="1" r:id="rId1"/>
      <headerFooter alignWithMargins="0"/>
    </customSheetView>
    <customSheetView guid="{429188B7-F8E8-41E0-BAA6-8F869C883D4F}" showGridLines="0">
      <pane xSplit="1" ySplit="6" topLeftCell="B7" activePane="bottomRight" state="frozen"/>
      <selection pane="bottomRight" activeCell="A2" sqref="A2"/>
      <colBreaks count="2" manualBreakCount="2">
        <brk id="11" min="2" max="70" man="1"/>
        <brk id="17" max="1048575" man="1"/>
      </colBreaks>
      <pageMargins left="0" right="0" top="0" bottom="0" header="0" footer="0"/>
      <pageSetup paperSize="8" firstPageNumber="12" fitToWidth="3" orientation="portrait" r:id="rId2"/>
      <headerFooter alignWithMargins="0">
        <oddHeader>&amp;L&amp;"ＭＳ Ｐゴシック,太字"&amp;16 ５　産　業</oddHeader>
      </headerFooter>
    </customSheetView>
  </customSheetViews>
  <mergeCells count="22">
    <mergeCell ref="L4:L5"/>
    <mergeCell ref="W3:X3"/>
    <mergeCell ref="X4:X5"/>
    <mergeCell ref="R4:S4"/>
    <mergeCell ref="R3:U3"/>
    <mergeCell ref="N3:Q3"/>
    <mergeCell ref="M1:Q2"/>
    <mergeCell ref="B131:K131"/>
    <mergeCell ref="L131:Q131"/>
    <mergeCell ref="L3:M3"/>
    <mergeCell ref="R131:X131"/>
    <mergeCell ref="M4:M5"/>
    <mergeCell ref="T4:U4"/>
    <mergeCell ref="B3:D3"/>
    <mergeCell ref="J4:K4"/>
    <mergeCell ref="P4:Q4"/>
    <mergeCell ref="N4:O4"/>
    <mergeCell ref="H4:I4"/>
    <mergeCell ref="B4:D4"/>
    <mergeCell ref="F4:G4"/>
    <mergeCell ref="N71:Q71"/>
    <mergeCell ref="W4:W5"/>
  </mergeCells>
  <phoneticPr fontId="2"/>
  <dataValidations count="1">
    <dataValidation imeMode="disabled" allowBlank="1" showInputMessage="1" showErrorMessage="1" sqref="B7:X21 W29:X68 W23:W28 X22:X28 B22:V68" xr:uid="{00000000-0002-0000-0600-000000000000}"/>
  </dataValidations>
  <pageMargins left="0.74803149606299213" right="0.23622047244094491" top="0.98425196850393704" bottom="0.39370078740157483" header="0.59055118110236227" footer="0.31496062992125984"/>
  <pageSetup paperSize="9" scale="63" firstPageNumber="12" fitToWidth="3" orientation="portrait" r:id="rId3"/>
  <headerFooter alignWithMargins="0">
    <oddHeader>&amp;L&amp;"ＭＳ Ｐゴシック,太字"&amp;16 ５　産　業</oddHeader>
  </headerFooter>
  <colBreaks count="1" manualBreakCount="1">
    <brk id="13" min="2" max="71" man="1"/>
  </col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K126"/>
  <sheetViews>
    <sheetView showGridLines="0" view="pageBreakPreview" zoomScale="90" zoomScaleNormal="100" zoomScaleSheetLayoutView="90" workbookViewId="0">
      <pane xSplit="1" ySplit="6" topLeftCell="B7" activePane="bottomRight" state="frozen"/>
      <selection pane="topRight" activeCell="J20" sqref="J19:J20"/>
      <selection pane="bottomLeft" activeCell="J20" sqref="J19:J20"/>
      <selection pane="bottomRight" activeCell="AP62" sqref="AP62"/>
    </sheetView>
  </sheetViews>
  <sheetFormatPr defaultColWidth="8.88671875" defaultRowHeight="13.2"/>
  <cols>
    <col min="1" max="1" width="12.44140625" customWidth="1"/>
    <col min="2" max="2" width="9.77734375" customWidth="1"/>
    <col min="3" max="3" width="12.109375" customWidth="1"/>
    <col min="4" max="5" width="9.6640625" customWidth="1"/>
    <col min="6" max="6" width="10" customWidth="1"/>
    <col min="7" max="7" width="1.44140625" customWidth="1"/>
    <col min="8" max="8" width="10.44140625" customWidth="1"/>
    <col min="9" max="9" width="10.109375" customWidth="1"/>
    <col min="10" max="10" width="1.88671875" customWidth="1"/>
    <col min="11" max="11" width="5.33203125" customWidth="1"/>
    <col min="12" max="12" width="11.88671875" customWidth="1"/>
    <col min="13" max="13" width="6.109375" customWidth="1"/>
    <col min="14" max="14" width="12.33203125" customWidth="1"/>
    <col min="15" max="15" width="6.88671875" customWidth="1"/>
    <col min="16" max="16" width="7.88671875" customWidth="1"/>
    <col min="17" max="17" width="1.44140625" customWidth="1"/>
    <col min="18" max="18" width="10.6640625" customWidth="1"/>
    <col min="19" max="19" width="6.6640625" customWidth="1"/>
    <col min="20" max="20" width="13.88671875" customWidth="1"/>
    <col min="21" max="21" width="6.6640625" customWidth="1"/>
    <col min="22" max="22" width="7.44140625" customWidth="1"/>
    <col min="23" max="23" width="8.33203125" customWidth="1"/>
    <col min="24" max="26" width="8.21875" customWidth="1"/>
    <col min="27" max="27" width="2.44140625" customWidth="1"/>
    <col min="28" max="37" width="10.6640625" customWidth="1"/>
  </cols>
  <sheetData>
    <row r="1" spans="1:37" ht="19.2">
      <c r="A1" s="847" t="s">
        <v>431</v>
      </c>
      <c r="B1" s="847"/>
      <c r="C1" s="731"/>
      <c r="D1" s="731"/>
      <c r="E1" s="593"/>
      <c r="F1" s="731"/>
      <c r="G1" s="731"/>
      <c r="H1" s="731"/>
      <c r="I1" s="731"/>
    </row>
    <row r="2" spans="1:37" ht="18.75" customHeight="1">
      <c r="A2" s="731"/>
      <c r="B2" s="848" t="s">
        <v>432</v>
      </c>
      <c r="C2" s="849"/>
      <c r="D2" s="849"/>
      <c r="E2" s="849"/>
      <c r="F2" s="849"/>
      <c r="G2" s="849"/>
      <c r="H2" s="2019" t="s">
        <v>433</v>
      </c>
      <c r="I2" s="2020"/>
      <c r="J2" s="377"/>
      <c r="K2" s="382" t="s">
        <v>434</v>
      </c>
      <c r="L2" s="377"/>
      <c r="M2" s="377"/>
      <c r="N2" s="382"/>
      <c r="P2" s="377"/>
      <c r="Q2" s="377"/>
      <c r="R2" s="2021" t="s">
        <v>435</v>
      </c>
      <c r="S2" s="2022"/>
      <c r="V2" s="377"/>
      <c r="W2" s="377"/>
      <c r="X2" s="377"/>
      <c r="Y2" s="377"/>
      <c r="Z2" s="377"/>
      <c r="AA2" s="377"/>
      <c r="AB2" s="1162" t="s">
        <v>436</v>
      </c>
      <c r="AC2" s="1161"/>
      <c r="AD2" s="731"/>
      <c r="AE2" s="731"/>
      <c r="AF2" s="731"/>
      <c r="AG2" s="731"/>
      <c r="AH2" s="731"/>
      <c r="AI2" s="731"/>
      <c r="AJ2" s="731"/>
      <c r="AK2" s="731"/>
    </row>
    <row r="3" spans="1:37" ht="17.25" customHeight="1">
      <c r="A3" s="850" t="s">
        <v>437</v>
      </c>
      <c r="B3" s="2040" t="s">
        <v>438</v>
      </c>
      <c r="C3" s="2043" t="s">
        <v>439</v>
      </c>
      <c r="D3" s="2051" t="s">
        <v>440</v>
      </c>
      <c r="E3" s="2051"/>
      <c r="F3" s="2052"/>
      <c r="G3" s="851"/>
      <c r="H3" s="2027" t="s">
        <v>441</v>
      </c>
      <c r="I3" s="1844" t="s">
        <v>442</v>
      </c>
      <c r="J3" s="372"/>
      <c r="K3" s="2032" t="s">
        <v>443</v>
      </c>
      <c r="L3" s="2047" t="s">
        <v>444</v>
      </c>
      <c r="M3" s="2048"/>
      <c r="N3" s="21" t="s">
        <v>445</v>
      </c>
      <c r="O3" s="11"/>
      <c r="P3" s="2030" t="s">
        <v>65</v>
      </c>
      <c r="Q3" s="374"/>
      <c r="R3" s="21" t="s">
        <v>446</v>
      </c>
      <c r="S3" s="34"/>
      <c r="T3" s="11" t="s">
        <v>445</v>
      </c>
      <c r="U3" s="11"/>
      <c r="V3" s="2009" t="s">
        <v>447</v>
      </c>
      <c r="W3" s="2003" t="s">
        <v>448</v>
      </c>
      <c r="X3" s="2003" t="s">
        <v>449</v>
      </c>
      <c r="Y3" s="2009" t="s">
        <v>450</v>
      </c>
      <c r="Z3" s="2006" t="s">
        <v>451</v>
      </c>
      <c r="AA3" s="711"/>
      <c r="AB3" s="2013" t="s">
        <v>452</v>
      </c>
      <c r="AC3" s="2014"/>
      <c r="AD3" s="1853" t="s">
        <v>453</v>
      </c>
      <c r="AE3" s="2012"/>
      <c r="AF3" s="2012"/>
      <c r="AG3" s="2012"/>
      <c r="AH3" s="2012"/>
      <c r="AI3" s="2012"/>
      <c r="AJ3" s="1870" t="s">
        <v>454</v>
      </c>
      <c r="AK3" s="2035"/>
    </row>
    <row r="4" spans="1:37" ht="17.25" customHeight="1">
      <c r="A4" s="852"/>
      <c r="B4" s="2041"/>
      <c r="C4" s="2044"/>
      <c r="D4" s="2017" t="s">
        <v>455</v>
      </c>
      <c r="E4" s="2017" t="s">
        <v>456</v>
      </c>
      <c r="F4" s="2049" t="s">
        <v>457</v>
      </c>
      <c r="G4" s="851"/>
      <c r="H4" s="2028"/>
      <c r="I4" s="1845"/>
      <c r="J4" s="369"/>
      <c r="K4" s="2033"/>
      <c r="L4" s="7"/>
      <c r="M4" s="2025" t="s">
        <v>458</v>
      </c>
      <c r="N4" s="369"/>
      <c r="O4" s="2045" t="s">
        <v>459</v>
      </c>
      <c r="P4" s="2031"/>
      <c r="Q4" s="374"/>
      <c r="R4" s="369"/>
      <c r="S4" s="2023" t="s">
        <v>458</v>
      </c>
      <c r="T4" s="409"/>
      <c r="U4" s="2045" t="s">
        <v>459</v>
      </c>
      <c r="V4" s="2010"/>
      <c r="W4" s="2004"/>
      <c r="X4" s="2004"/>
      <c r="Y4" s="2010"/>
      <c r="Z4" s="2007"/>
      <c r="AA4" s="95"/>
      <c r="AB4" s="2056" t="s">
        <v>460</v>
      </c>
      <c r="AC4" s="2015" t="s">
        <v>461</v>
      </c>
      <c r="AD4" s="1361"/>
      <c r="AE4" s="1900" t="s">
        <v>462</v>
      </c>
      <c r="AF4" s="2017" t="s">
        <v>463</v>
      </c>
      <c r="AG4" s="1900" t="s">
        <v>464</v>
      </c>
      <c r="AH4" s="2053" t="s">
        <v>465</v>
      </c>
      <c r="AI4" s="2053" t="s">
        <v>466</v>
      </c>
      <c r="AJ4" s="2036"/>
      <c r="AK4" s="2037"/>
    </row>
    <row r="5" spans="1:37" ht="17.25" customHeight="1">
      <c r="A5" s="765"/>
      <c r="B5" s="2042"/>
      <c r="C5" s="2018"/>
      <c r="D5" s="2055"/>
      <c r="E5" s="2055"/>
      <c r="F5" s="2050"/>
      <c r="G5" s="851"/>
      <c r="H5" s="2029"/>
      <c r="I5" s="1951"/>
      <c r="J5" s="708"/>
      <c r="K5" s="2034"/>
      <c r="L5" s="7"/>
      <c r="M5" s="2026"/>
      <c r="N5" s="369"/>
      <c r="O5" s="2046"/>
      <c r="P5" s="2031"/>
      <c r="Q5" s="374"/>
      <c r="R5" s="369"/>
      <c r="S5" s="2024"/>
      <c r="T5" s="410"/>
      <c r="U5" s="2046"/>
      <c r="V5" s="2011"/>
      <c r="W5" s="2005"/>
      <c r="X5" s="2005"/>
      <c r="Y5" s="2011"/>
      <c r="Z5" s="2008"/>
      <c r="AA5" s="95"/>
      <c r="AB5" s="2057"/>
      <c r="AC5" s="2016"/>
      <c r="AD5" s="1361"/>
      <c r="AE5" s="1875"/>
      <c r="AF5" s="2018"/>
      <c r="AG5" s="1908"/>
      <c r="AH5" s="2054"/>
      <c r="AI5" s="2054"/>
      <c r="AJ5" s="2038"/>
      <c r="AK5" s="2039"/>
    </row>
    <row r="6" spans="1:37" ht="17.25" customHeight="1">
      <c r="A6" s="853" t="s">
        <v>467</v>
      </c>
      <c r="B6" s="854"/>
      <c r="C6" s="493" t="s">
        <v>468</v>
      </c>
      <c r="D6" s="493" t="s">
        <v>468</v>
      </c>
      <c r="E6" s="493" t="s">
        <v>468</v>
      </c>
      <c r="F6" s="855" t="s">
        <v>468</v>
      </c>
      <c r="G6" s="856"/>
      <c r="H6" s="857" t="s">
        <v>146</v>
      </c>
      <c r="I6" s="855" t="s">
        <v>469</v>
      </c>
      <c r="J6" s="373"/>
      <c r="K6" s="44" t="s">
        <v>146</v>
      </c>
      <c r="L6" s="38" t="s">
        <v>135</v>
      </c>
      <c r="M6" s="39" t="s">
        <v>137</v>
      </c>
      <c r="N6" s="44" t="s">
        <v>470</v>
      </c>
      <c r="O6" s="48" t="s">
        <v>137</v>
      </c>
      <c r="P6" s="39" t="s">
        <v>137</v>
      </c>
      <c r="Q6" s="375"/>
      <c r="R6" s="44" t="s">
        <v>135</v>
      </c>
      <c r="S6" s="38" t="s">
        <v>137</v>
      </c>
      <c r="T6" s="41" t="s">
        <v>470</v>
      </c>
      <c r="U6" s="48" t="s">
        <v>137</v>
      </c>
      <c r="V6" s="48" t="s">
        <v>470</v>
      </c>
      <c r="W6" s="229" t="s">
        <v>137</v>
      </c>
      <c r="X6" s="229" t="s">
        <v>137</v>
      </c>
      <c r="Y6" s="228" t="s">
        <v>137</v>
      </c>
      <c r="Z6" s="490" t="s">
        <v>137</v>
      </c>
      <c r="AA6" s="375"/>
      <c r="AB6" s="857" t="s">
        <v>471</v>
      </c>
      <c r="AC6" s="493" t="s">
        <v>469</v>
      </c>
      <c r="AD6" s="493" t="s">
        <v>471</v>
      </c>
      <c r="AE6" s="493" t="s">
        <v>471</v>
      </c>
      <c r="AF6" s="493" t="s">
        <v>471</v>
      </c>
      <c r="AG6" s="493" t="s">
        <v>471</v>
      </c>
      <c r="AH6" s="493" t="s">
        <v>471</v>
      </c>
      <c r="AI6" s="493" t="s">
        <v>471</v>
      </c>
      <c r="AJ6" s="493" t="s">
        <v>146</v>
      </c>
      <c r="AK6" s="855" t="s">
        <v>471</v>
      </c>
    </row>
    <row r="7" spans="1:37" ht="15.75" customHeight="1">
      <c r="A7" s="858" t="s">
        <v>147</v>
      </c>
      <c r="B7" s="655">
        <v>4608</v>
      </c>
      <c r="C7" s="577">
        <v>1645</v>
      </c>
      <c r="D7" s="577">
        <v>126</v>
      </c>
      <c r="E7" s="577">
        <v>130</v>
      </c>
      <c r="F7" s="859">
        <v>1389</v>
      </c>
      <c r="G7" s="718"/>
      <c r="H7" s="576">
        <v>380</v>
      </c>
      <c r="I7" s="1676">
        <v>25</v>
      </c>
      <c r="J7" s="27"/>
      <c r="K7" s="146">
        <v>2</v>
      </c>
      <c r="L7" s="142">
        <v>220495</v>
      </c>
      <c r="M7" s="1677">
        <v>90.9</v>
      </c>
      <c r="N7" s="929">
        <v>25775310</v>
      </c>
      <c r="O7" s="1678">
        <v>73</v>
      </c>
      <c r="P7" s="139">
        <v>93.2</v>
      </c>
      <c r="Q7" s="27"/>
      <c r="R7" s="911">
        <v>242203</v>
      </c>
      <c r="S7" s="136">
        <v>99.89</v>
      </c>
      <c r="T7" s="921">
        <v>27119925</v>
      </c>
      <c r="U7" s="136">
        <v>83.24</v>
      </c>
      <c r="V7" s="1678">
        <v>134.5</v>
      </c>
      <c r="W7" s="1678">
        <v>42.9</v>
      </c>
      <c r="X7" s="1678">
        <v>8.1</v>
      </c>
      <c r="Y7" s="1678">
        <v>8.3000000000000007</v>
      </c>
      <c r="Z7" s="1677">
        <v>48.5</v>
      </c>
      <c r="AA7" s="27"/>
      <c r="AB7" s="586">
        <v>885</v>
      </c>
      <c r="AC7" s="648">
        <v>98.16</v>
      </c>
      <c r="AD7" s="647">
        <v>7946</v>
      </c>
      <c r="AE7" s="647">
        <v>5994</v>
      </c>
      <c r="AF7" s="522" t="s">
        <v>153</v>
      </c>
      <c r="AG7" s="647">
        <v>1732</v>
      </c>
      <c r="AH7" s="522" t="s">
        <v>153</v>
      </c>
      <c r="AI7" s="647">
        <v>220</v>
      </c>
      <c r="AJ7" s="647">
        <v>41</v>
      </c>
      <c r="AK7" s="1542">
        <v>1413</v>
      </c>
    </row>
    <row r="8" spans="1:37" ht="15.75" customHeight="1">
      <c r="A8" s="860" t="s">
        <v>149</v>
      </c>
      <c r="B8" s="861">
        <v>6110</v>
      </c>
      <c r="C8" s="600">
        <v>2581</v>
      </c>
      <c r="D8" s="600">
        <v>77</v>
      </c>
      <c r="E8" s="600">
        <v>209</v>
      </c>
      <c r="F8" s="1546">
        <v>2295</v>
      </c>
      <c r="G8" s="862"/>
      <c r="H8" s="604">
        <v>390</v>
      </c>
      <c r="I8" s="1679">
        <v>22.4</v>
      </c>
      <c r="J8" s="712"/>
      <c r="K8" s="501">
        <v>1</v>
      </c>
      <c r="L8" s="530">
        <v>313805</v>
      </c>
      <c r="M8" s="1680">
        <v>97.3</v>
      </c>
      <c r="N8" s="525">
        <v>30490132</v>
      </c>
      <c r="O8" s="1681">
        <v>80.2</v>
      </c>
      <c r="P8" s="1680">
        <v>98.6</v>
      </c>
      <c r="Q8" s="712"/>
      <c r="R8" s="501">
        <v>308586</v>
      </c>
      <c r="S8" s="533">
        <v>96.1</v>
      </c>
      <c r="T8" s="607">
        <v>29187250</v>
      </c>
      <c r="U8" s="533">
        <v>87</v>
      </c>
      <c r="V8" s="1681">
        <v>94.6</v>
      </c>
      <c r="W8" s="1681">
        <v>0</v>
      </c>
      <c r="X8" s="1681">
        <v>21.9</v>
      </c>
      <c r="Y8" s="1681">
        <v>11.1</v>
      </c>
      <c r="Z8" s="1680">
        <v>83.2</v>
      </c>
      <c r="AA8" s="712"/>
      <c r="AB8" s="1032">
        <v>1581</v>
      </c>
      <c r="AC8" s="1034">
        <v>87.7</v>
      </c>
      <c r="AD8" s="509">
        <f>SUM(AE8:AI8)</f>
        <v>6059</v>
      </c>
      <c r="AE8" s="509">
        <v>4870</v>
      </c>
      <c r="AF8" s="1362" t="s">
        <v>148</v>
      </c>
      <c r="AG8" s="509">
        <v>1189</v>
      </c>
      <c r="AH8" s="1362" t="s">
        <v>148</v>
      </c>
      <c r="AI8" s="1362" t="s">
        <v>148</v>
      </c>
      <c r="AJ8" s="1035">
        <v>22</v>
      </c>
      <c r="AK8" s="1551">
        <v>868</v>
      </c>
    </row>
    <row r="9" spans="1:37" ht="15.75" customHeight="1">
      <c r="A9" s="858" t="s">
        <v>150</v>
      </c>
      <c r="B9" s="640">
        <v>6588</v>
      </c>
      <c r="C9" s="555">
        <v>2278</v>
      </c>
      <c r="D9" s="555">
        <v>143</v>
      </c>
      <c r="E9" s="555">
        <v>237</v>
      </c>
      <c r="F9" s="1431">
        <v>1898</v>
      </c>
      <c r="G9" s="718"/>
      <c r="H9" s="554">
        <v>146</v>
      </c>
      <c r="I9" s="1682">
        <v>18.600000000000001</v>
      </c>
      <c r="J9" s="27"/>
      <c r="K9" s="238">
        <v>2</v>
      </c>
      <c r="L9" s="241">
        <v>219492</v>
      </c>
      <c r="M9" s="1683">
        <v>81.599999999999994</v>
      </c>
      <c r="N9" s="930">
        <v>21531742</v>
      </c>
      <c r="O9" s="1684">
        <v>73</v>
      </c>
      <c r="P9" s="1683">
        <v>87.4</v>
      </c>
      <c r="Q9" s="27"/>
      <c r="R9" s="912">
        <v>268238</v>
      </c>
      <c r="S9" s="242">
        <v>99.8</v>
      </c>
      <c r="T9" s="922">
        <v>27121305</v>
      </c>
      <c r="U9" s="242">
        <v>87.71</v>
      </c>
      <c r="V9" s="1684">
        <v>101.1</v>
      </c>
      <c r="W9" s="1684">
        <v>32.799999999999997</v>
      </c>
      <c r="X9" s="1684">
        <v>82</v>
      </c>
      <c r="Y9" s="1684">
        <v>16.2</v>
      </c>
      <c r="Z9" s="1683">
        <v>55.2</v>
      </c>
      <c r="AA9" s="27"/>
      <c r="AB9" s="553">
        <v>1303</v>
      </c>
      <c r="AC9" s="523">
        <v>86.8</v>
      </c>
      <c r="AD9" s="522">
        <v>4791</v>
      </c>
      <c r="AE9" s="522">
        <v>2665</v>
      </c>
      <c r="AF9" s="522" t="s">
        <v>153</v>
      </c>
      <c r="AG9" s="522">
        <v>2126</v>
      </c>
      <c r="AH9" s="522" t="s">
        <v>153</v>
      </c>
      <c r="AI9" s="522" t="s">
        <v>153</v>
      </c>
      <c r="AJ9" s="522">
        <v>17</v>
      </c>
      <c r="AK9" s="1459">
        <v>542</v>
      </c>
    </row>
    <row r="10" spans="1:37" ht="15.75" customHeight="1">
      <c r="A10" s="860" t="s">
        <v>152</v>
      </c>
      <c r="B10" s="633">
        <v>3599</v>
      </c>
      <c r="C10" s="628">
        <v>1806</v>
      </c>
      <c r="D10" s="628">
        <v>75</v>
      </c>
      <c r="E10" s="628">
        <v>151</v>
      </c>
      <c r="F10" s="1380">
        <v>1580</v>
      </c>
      <c r="G10" s="718"/>
      <c r="H10" s="627">
        <v>183</v>
      </c>
      <c r="I10" s="1685">
        <v>11.16</v>
      </c>
      <c r="J10" s="27"/>
      <c r="K10" s="75">
        <v>1</v>
      </c>
      <c r="L10" s="76">
        <v>148906</v>
      </c>
      <c r="M10" s="1686">
        <v>67.8</v>
      </c>
      <c r="N10" s="528">
        <v>12757641</v>
      </c>
      <c r="O10" s="1687">
        <v>70.599999999999994</v>
      </c>
      <c r="P10" s="1686">
        <v>82.2</v>
      </c>
      <c r="Q10" s="27"/>
      <c r="R10" s="507">
        <v>217849</v>
      </c>
      <c r="S10" s="74">
        <f>217849/219643*100</f>
        <v>99.183220043434119</v>
      </c>
      <c r="T10" s="672">
        <v>20563659</v>
      </c>
      <c r="U10" s="74">
        <f>20563659/22644553*100</f>
        <v>90.810620108067482</v>
      </c>
      <c r="V10" s="1687">
        <f>20563659/217849</f>
        <v>94.394094074335896</v>
      </c>
      <c r="W10" s="1687">
        <v>42.1</v>
      </c>
      <c r="X10" s="1687">
        <v>49.5</v>
      </c>
      <c r="Y10" s="1687">
        <v>45.3</v>
      </c>
      <c r="Z10" s="1686">
        <v>72.2</v>
      </c>
      <c r="AA10" s="27"/>
      <c r="AB10" s="563">
        <v>1026</v>
      </c>
      <c r="AC10" s="634">
        <v>95.9</v>
      </c>
      <c r="AD10" s="564">
        <v>4382</v>
      </c>
      <c r="AE10" s="564">
        <v>2985</v>
      </c>
      <c r="AF10" s="564" t="s">
        <v>153</v>
      </c>
      <c r="AG10" s="564">
        <v>1397</v>
      </c>
      <c r="AH10" s="564" t="s">
        <v>153</v>
      </c>
      <c r="AI10" s="564" t="s">
        <v>153</v>
      </c>
      <c r="AJ10" s="564">
        <v>16</v>
      </c>
      <c r="AK10" s="1451">
        <v>494</v>
      </c>
    </row>
    <row r="11" spans="1:37" ht="15.75" customHeight="1">
      <c r="A11" s="858" t="s">
        <v>154</v>
      </c>
      <c r="B11" s="640">
        <v>8101</v>
      </c>
      <c r="C11" s="555">
        <v>2409.1</v>
      </c>
      <c r="D11" s="555">
        <v>136.80000000000001</v>
      </c>
      <c r="E11" s="555">
        <v>133.1</v>
      </c>
      <c r="F11" s="1431">
        <v>2139.1999999999998</v>
      </c>
      <c r="G11" s="718"/>
      <c r="H11" s="554">
        <v>482</v>
      </c>
      <c r="I11" s="1682">
        <v>11.34</v>
      </c>
      <c r="J11" s="27"/>
      <c r="K11" s="238" t="s">
        <v>148</v>
      </c>
      <c r="L11" s="241">
        <v>253790</v>
      </c>
      <c r="M11" s="1683">
        <v>90.1</v>
      </c>
      <c r="N11" s="930">
        <v>27257638</v>
      </c>
      <c r="O11" s="1684">
        <v>84.5</v>
      </c>
      <c r="P11" s="1683">
        <v>96.7</v>
      </c>
      <c r="Q11" s="27"/>
      <c r="R11" s="912">
        <v>276831</v>
      </c>
      <c r="S11" s="242">
        <v>99.3</v>
      </c>
      <c r="T11" s="923">
        <v>27651639</v>
      </c>
      <c r="U11" s="242">
        <v>93.2</v>
      </c>
      <c r="V11" s="1684">
        <v>99.88</v>
      </c>
      <c r="W11" s="1684">
        <v>85.2</v>
      </c>
      <c r="X11" s="1684">
        <v>69.900000000000006</v>
      </c>
      <c r="Y11" s="1684">
        <v>31.6</v>
      </c>
      <c r="Z11" s="1683">
        <v>70.599999999999994</v>
      </c>
      <c r="AA11" s="27"/>
      <c r="AB11" s="553">
        <v>1869</v>
      </c>
      <c r="AC11" s="523" t="s">
        <v>427</v>
      </c>
      <c r="AD11" s="522">
        <v>5554</v>
      </c>
      <c r="AE11" s="522">
        <v>2428</v>
      </c>
      <c r="AF11" s="522" t="s">
        <v>148</v>
      </c>
      <c r="AG11" s="522">
        <v>3126</v>
      </c>
      <c r="AH11" s="522" t="s">
        <v>148</v>
      </c>
      <c r="AI11" s="522" t="s">
        <v>148</v>
      </c>
      <c r="AJ11" s="522">
        <v>29</v>
      </c>
      <c r="AK11" s="1459">
        <v>737</v>
      </c>
    </row>
    <row r="12" spans="1:37" ht="15.75" customHeight="1">
      <c r="A12" s="860" t="s">
        <v>155</v>
      </c>
      <c r="B12" s="633">
        <v>7633</v>
      </c>
      <c r="C12" s="628">
        <v>2512</v>
      </c>
      <c r="D12" s="628">
        <v>111</v>
      </c>
      <c r="E12" s="628">
        <v>397</v>
      </c>
      <c r="F12" s="1380">
        <v>2004</v>
      </c>
      <c r="G12" s="718"/>
      <c r="H12" s="627">
        <v>221</v>
      </c>
      <c r="I12" s="1685">
        <v>20.67</v>
      </c>
      <c r="J12" s="27"/>
      <c r="K12" s="220">
        <v>2</v>
      </c>
      <c r="L12" s="206">
        <v>283873</v>
      </c>
      <c r="M12" s="1688">
        <v>95.1</v>
      </c>
      <c r="N12" s="931">
        <v>27571322</v>
      </c>
      <c r="O12" s="1689">
        <v>80.099999999999994</v>
      </c>
      <c r="P12" s="1688">
        <v>98.8</v>
      </c>
      <c r="Q12" s="27"/>
      <c r="R12" s="913">
        <v>299299</v>
      </c>
      <c r="S12" s="207">
        <v>99.7</v>
      </c>
      <c r="T12" s="924">
        <v>31439781</v>
      </c>
      <c r="U12" s="207">
        <v>91.9</v>
      </c>
      <c r="V12" s="1689">
        <v>105.04472450626297</v>
      </c>
      <c r="W12" s="1689">
        <v>20.100000000000001</v>
      </c>
      <c r="X12" s="1689">
        <v>59.9</v>
      </c>
      <c r="Y12" s="1689">
        <v>30.5</v>
      </c>
      <c r="Z12" s="1688">
        <v>63</v>
      </c>
      <c r="AA12" s="27"/>
      <c r="AB12" s="563">
        <v>1471</v>
      </c>
      <c r="AC12" s="634">
        <v>97.4</v>
      </c>
      <c r="AD12" s="564">
        <f>SUM(AE12:AI12)</f>
        <v>4293</v>
      </c>
      <c r="AE12" s="564">
        <v>2384</v>
      </c>
      <c r="AF12" s="1051" t="s">
        <v>153</v>
      </c>
      <c r="AG12" s="564">
        <v>1909</v>
      </c>
      <c r="AH12" s="1051" t="s">
        <v>153</v>
      </c>
      <c r="AI12" s="1051" t="s">
        <v>153</v>
      </c>
      <c r="AJ12" s="564">
        <v>28</v>
      </c>
      <c r="AK12" s="1451">
        <v>763</v>
      </c>
    </row>
    <row r="13" spans="1:37" ht="15.75" customHeight="1">
      <c r="A13" s="858" t="s">
        <v>156</v>
      </c>
      <c r="B13" s="640">
        <v>4316</v>
      </c>
      <c r="C13" s="555">
        <v>1607</v>
      </c>
      <c r="D13" s="555">
        <v>67</v>
      </c>
      <c r="E13" s="555">
        <v>194</v>
      </c>
      <c r="F13" s="1431">
        <v>1346</v>
      </c>
      <c r="G13" s="718"/>
      <c r="H13" s="554">
        <v>231</v>
      </c>
      <c r="I13" s="1682">
        <v>16.2</v>
      </c>
      <c r="J13" s="27"/>
      <c r="K13" s="238">
        <v>1</v>
      </c>
      <c r="L13" s="241">
        <v>234404</v>
      </c>
      <c r="M13" s="1683">
        <v>97.9</v>
      </c>
      <c r="N13" s="930">
        <v>22825700</v>
      </c>
      <c r="O13" s="1684">
        <v>76.2</v>
      </c>
      <c r="P13" s="1683">
        <v>99.7</v>
      </c>
      <c r="Q13" s="27"/>
      <c r="R13" s="912">
        <v>235390</v>
      </c>
      <c r="S13" s="242">
        <v>99.9</v>
      </c>
      <c r="T13" s="923">
        <v>23606212</v>
      </c>
      <c r="U13" s="242">
        <v>91.2</v>
      </c>
      <c r="V13" s="1684">
        <v>100.29</v>
      </c>
      <c r="W13" s="1684">
        <v>38.799999999999997</v>
      </c>
      <c r="X13" s="1684">
        <v>38.700000000000003</v>
      </c>
      <c r="Y13" s="1684">
        <v>36.5</v>
      </c>
      <c r="Z13" s="1683">
        <v>52.6</v>
      </c>
      <c r="AA13" s="27"/>
      <c r="AB13" s="553">
        <v>933</v>
      </c>
      <c r="AC13" s="523">
        <v>114.03</v>
      </c>
      <c r="AD13" s="522">
        <v>2733</v>
      </c>
      <c r="AE13" s="522">
        <v>1911</v>
      </c>
      <c r="AF13" s="522" t="s">
        <v>153</v>
      </c>
      <c r="AG13" s="522">
        <v>822</v>
      </c>
      <c r="AH13" s="522" t="s">
        <v>153</v>
      </c>
      <c r="AI13" s="522" t="s">
        <v>153</v>
      </c>
      <c r="AJ13" s="522">
        <v>26</v>
      </c>
      <c r="AK13" s="1459">
        <v>558</v>
      </c>
    </row>
    <row r="14" spans="1:37" ht="15.75" customHeight="1">
      <c r="A14" s="860" t="s">
        <v>157</v>
      </c>
      <c r="B14" s="620">
        <v>8022</v>
      </c>
      <c r="C14" s="540">
        <v>3441</v>
      </c>
      <c r="D14" s="540">
        <v>147</v>
      </c>
      <c r="E14" s="540">
        <v>247</v>
      </c>
      <c r="F14" s="1572">
        <v>3047</v>
      </c>
      <c r="G14" s="718"/>
      <c r="H14" s="539">
        <v>199</v>
      </c>
      <c r="I14" s="1690">
        <v>11.94</v>
      </c>
      <c r="J14" s="621"/>
      <c r="K14" s="622">
        <v>2</v>
      </c>
      <c r="L14" s="540">
        <v>181234</v>
      </c>
      <c r="M14" s="1691">
        <v>67.3</v>
      </c>
      <c r="N14" s="932">
        <v>18105101</v>
      </c>
      <c r="O14" s="1692">
        <v>90.5</v>
      </c>
      <c r="P14" s="1690">
        <v>89.4</v>
      </c>
      <c r="Q14" s="621"/>
      <c r="R14" s="914">
        <v>269690</v>
      </c>
      <c r="S14" s="543">
        <v>99</v>
      </c>
      <c r="T14" s="925">
        <v>26622501</v>
      </c>
      <c r="U14" s="543">
        <v>89.5</v>
      </c>
      <c r="V14" s="1692">
        <v>98.7</v>
      </c>
      <c r="W14" s="1692">
        <v>39.299999999999997</v>
      </c>
      <c r="X14" s="1692">
        <v>44.5</v>
      </c>
      <c r="Y14" s="1692">
        <v>7</v>
      </c>
      <c r="Z14" s="1690">
        <v>94.7</v>
      </c>
      <c r="AA14" s="621"/>
      <c r="AB14" s="537">
        <v>1528</v>
      </c>
      <c r="AC14" s="519">
        <v>89.72</v>
      </c>
      <c r="AD14" s="518">
        <v>6404</v>
      </c>
      <c r="AE14" s="518">
        <v>4115</v>
      </c>
      <c r="AF14" s="518" t="s">
        <v>153</v>
      </c>
      <c r="AG14" s="518">
        <v>2289</v>
      </c>
      <c r="AH14" s="518" t="s">
        <v>153</v>
      </c>
      <c r="AI14" s="518" t="s">
        <v>153</v>
      </c>
      <c r="AJ14" s="518">
        <v>35</v>
      </c>
      <c r="AK14" s="1466">
        <v>1062</v>
      </c>
    </row>
    <row r="15" spans="1:37" ht="15.75" customHeight="1">
      <c r="A15" s="858" t="s">
        <v>158</v>
      </c>
      <c r="B15" s="640">
        <v>9037</v>
      </c>
      <c r="C15" s="555">
        <v>3861</v>
      </c>
      <c r="D15" s="555">
        <v>97</v>
      </c>
      <c r="E15" s="555">
        <v>338</v>
      </c>
      <c r="F15" s="1431">
        <v>3426</v>
      </c>
      <c r="G15" s="718"/>
      <c r="H15" s="554">
        <v>331</v>
      </c>
      <c r="I15" s="1682">
        <v>11.16</v>
      </c>
      <c r="J15" s="27"/>
      <c r="K15" s="238">
        <v>1</v>
      </c>
      <c r="L15" s="241">
        <v>237658</v>
      </c>
      <c r="M15" s="1683">
        <v>75.12</v>
      </c>
      <c r="N15" s="930">
        <v>22258932</v>
      </c>
      <c r="O15" s="1684">
        <v>79.400000000000006</v>
      </c>
      <c r="P15" s="1683">
        <v>93.2</v>
      </c>
      <c r="Q15" s="27"/>
      <c r="R15" s="915">
        <v>311945</v>
      </c>
      <c r="S15" s="557">
        <v>96.7</v>
      </c>
      <c r="T15" s="926">
        <v>34915631</v>
      </c>
      <c r="U15" s="557">
        <v>88.8</v>
      </c>
      <c r="V15" s="1684">
        <v>111.89</v>
      </c>
      <c r="W15" s="1684">
        <v>40.700000000000003</v>
      </c>
      <c r="X15" s="1486">
        <v>76.5</v>
      </c>
      <c r="Y15" s="1684">
        <v>17.3</v>
      </c>
      <c r="Z15" s="1682">
        <v>64.2</v>
      </c>
      <c r="AA15" s="27"/>
      <c r="AB15" s="553">
        <v>1799</v>
      </c>
      <c r="AC15" s="523">
        <v>94.1</v>
      </c>
      <c r="AD15" s="522">
        <v>5994</v>
      </c>
      <c r="AE15" s="522">
        <v>3665</v>
      </c>
      <c r="AF15" s="522" t="s">
        <v>153</v>
      </c>
      <c r="AG15" s="522">
        <v>2329</v>
      </c>
      <c r="AH15" s="522" t="s">
        <v>153</v>
      </c>
      <c r="AI15" s="522" t="s">
        <v>153</v>
      </c>
      <c r="AJ15" s="522">
        <v>38</v>
      </c>
      <c r="AK15" s="1459">
        <v>1044</v>
      </c>
    </row>
    <row r="16" spans="1:37" ht="15.75" customHeight="1">
      <c r="A16" s="860" t="s">
        <v>160</v>
      </c>
      <c r="B16" s="633">
        <v>8978</v>
      </c>
      <c r="C16" s="628">
        <v>4373.1000000000004</v>
      </c>
      <c r="D16" s="628">
        <v>154.30000000000001</v>
      </c>
      <c r="E16" s="628">
        <v>580.79999999999995</v>
      </c>
      <c r="F16" s="1380">
        <v>3638</v>
      </c>
      <c r="G16" s="718"/>
      <c r="H16" s="627">
        <v>276</v>
      </c>
      <c r="I16" s="1685">
        <v>16.399999999999999</v>
      </c>
      <c r="J16" s="27"/>
      <c r="K16" s="75">
        <v>4</v>
      </c>
      <c r="L16" s="76">
        <v>169472</v>
      </c>
      <c r="M16" s="1686">
        <v>54.9</v>
      </c>
      <c r="N16" s="528">
        <v>17145262</v>
      </c>
      <c r="O16" s="1687">
        <v>70.5</v>
      </c>
      <c r="P16" s="1686">
        <v>90.5</v>
      </c>
      <c r="Q16" s="27"/>
      <c r="R16" s="507">
        <v>315175</v>
      </c>
      <c r="S16" s="74">
        <v>99.79</v>
      </c>
      <c r="T16" s="672">
        <v>35330536</v>
      </c>
      <c r="U16" s="74">
        <v>89.78</v>
      </c>
      <c r="V16" s="1687">
        <v>112.09</v>
      </c>
      <c r="W16" s="1687">
        <v>23.6</v>
      </c>
      <c r="X16" s="1687">
        <v>45.2</v>
      </c>
      <c r="Y16" s="1687">
        <v>15.1</v>
      </c>
      <c r="Z16" s="1686">
        <v>52.6</v>
      </c>
      <c r="AA16" s="27"/>
      <c r="AB16" s="563">
        <v>1733</v>
      </c>
      <c r="AC16" s="634">
        <v>91.424120023</v>
      </c>
      <c r="AD16" s="564">
        <v>12006</v>
      </c>
      <c r="AE16" s="564">
        <v>7879</v>
      </c>
      <c r="AF16" s="564" t="s">
        <v>153</v>
      </c>
      <c r="AG16" s="564">
        <v>4127</v>
      </c>
      <c r="AH16" s="564" t="s">
        <v>153</v>
      </c>
      <c r="AI16" s="564" t="s">
        <v>153</v>
      </c>
      <c r="AJ16" s="564">
        <v>20</v>
      </c>
      <c r="AK16" s="1451">
        <v>519</v>
      </c>
    </row>
    <row r="17" spans="1:37" ht="15.75" customHeight="1">
      <c r="A17" s="858" t="s">
        <v>162</v>
      </c>
      <c r="B17" s="640">
        <v>7780</v>
      </c>
      <c r="C17" s="555">
        <v>2564</v>
      </c>
      <c r="D17" s="555">
        <v>103</v>
      </c>
      <c r="E17" s="555">
        <v>172</v>
      </c>
      <c r="F17" s="1431">
        <v>2288.6370000000002</v>
      </c>
      <c r="G17" s="718"/>
      <c r="H17" s="554">
        <v>144</v>
      </c>
      <c r="I17" s="1682">
        <v>11.98</v>
      </c>
      <c r="J17" s="27"/>
      <c r="K17" s="238">
        <v>3</v>
      </c>
      <c r="L17" s="241">
        <v>217206</v>
      </c>
      <c r="M17" s="1683">
        <v>80.7</v>
      </c>
      <c r="N17" s="930">
        <v>20512538</v>
      </c>
      <c r="O17" s="1684">
        <v>66.7</v>
      </c>
      <c r="P17" s="1683">
        <v>93.6</v>
      </c>
      <c r="Q17" s="27"/>
      <c r="R17" s="912">
        <v>266778</v>
      </c>
      <c r="S17" s="242">
        <v>99.4</v>
      </c>
      <c r="T17" s="923">
        <v>28558702</v>
      </c>
      <c r="U17" s="242">
        <v>88.1</v>
      </c>
      <c r="V17" s="1684">
        <v>107.1</v>
      </c>
      <c r="W17" s="1684">
        <v>0</v>
      </c>
      <c r="X17" s="1684">
        <v>99.1</v>
      </c>
      <c r="Y17" s="1684">
        <v>5.8</v>
      </c>
      <c r="Z17" s="1683">
        <v>55.8</v>
      </c>
      <c r="AA17" s="27"/>
      <c r="AB17" s="553">
        <v>2473</v>
      </c>
      <c r="AC17" s="523">
        <v>85.6</v>
      </c>
      <c r="AD17" s="522">
        <v>7756</v>
      </c>
      <c r="AE17" s="522">
        <v>3582</v>
      </c>
      <c r="AF17" s="522" t="s">
        <v>153</v>
      </c>
      <c r="AG17" s="522">
        <v>4174</v>
      </c>
      <c r="AH17" s="522" t="s">
        <v>153</v>
      </c>
      <c r="AI17" s="522" t="s">
        <v>153</v>
      </c>
      <c r="AJ17" s="522">
        <v>33</v>
      </c>
      <c r="AK17" s="1459">
        <v>862</v>
      </c>
    </row>
    <row r="18" spans="1:37" ht="15.75" customHeight="1">
      <c r="A18" s="860" t="s">
        <v>164</v>
      </c>
      <c r="B18" s="633">
        <v>7795</v>
      </c>
      <c r="C18" s="628">
        <v>3440</v>
      </c>
      <c r="D18" s="628">
        <v>141</v>
      </c>
      <c r="E18" s="628">
        <v>259</v>
      </c>
      <c r="F18" s="1380">
        <v>3040</v>
      </c>
      <c r="G18" s="718"/>
      <c r="H18" s="627">
        <v>1096</v>
      </c>
      <c r="I18" s="1685">
        <v>11.45</v>
      </c>
      <c r="J18" s="27"/>
      <c r="K18" s="75">
        <v>5</v>
      </c>
      <c r="L18" s="76">
        <v>470617</v>
      </c>
      <c r="M18" s="1686">
        <v>91.22</v>
      </c>
      <c r="N18" s="528">
        <v>47911164</v>
      </c>
      <c r="O18" s="1687">
        <v>65.17</v>
      </c>
      <c r="P18" s="1686">
        <v>99.3</v>
      </c>
      <c r="Q18" s="27"/>
      <c r="R18" s="507">
        <v>502969</v>
      </c>
      <c r="S18" s="74">
        <v>97.99</v>
      </c>
      <c r="T18" s="672">
        <v>51659020</v>
      </c>
      <c r="U18" s="74">
        <v>87.42</v>
      </c>
      <c r="V18" s="1687">
        <v>102.7</v>
      </c>
      <c r="W18" s="1687">
        <v>24</v>
      </c>
      <c r="X18" s="1687">
        <v>34.9</v>
      </c>
      <c r="Y18" s="1687">
        <v>8.1999999999999993</v>
      </c>
      <c r="Z18" s="1686">
        <v>72.38</v>
      </c>
      <c r="AA18" s="27"/>
      <c r="AB18" s="563">
        <v>3638</v>
      </c>
      <c r="AC18" s="634">
        <v>93</v>
      </c>
      <c r="AD18" s="564" t="s">
        <v>185</v>
      </c>
      <c r="AE18" s="564">
        <v>3543</v>
      </c>
      <c r="AF18" s="564" t="s">
        <v>185</v>
      </c>
      <c r="AG18" s="564">
        <v>3446</v>
      </c>
      <c r="AH18" s="564">
        <v>149</v>
      </c>
      <c r="AI18" s="564" t="s">
        <v>185</v>
      </c>
      <c r="AJ18" s="564">
        <v>45</v>
      </c>
      <c r="AK18" s="1451">
        <v>1649</v>
      </c>
    </row>
    <row r="19" spans="1:37" ht="15.75" customHeight="1">
      <c r="A19" s="858" t="s">
        <v>166</v>
      </c>
      <c r="B19" s="640">
        <v>17117</v>
      </c>
      <c r="C19" s="555">
        <v>4385</v>
      </c>
      <c r="D19" s="555">
        <v>63</v>
      </c>
      <c r="E19" s="555">
        <v>259</v>
      </c>
      <c r="F19" s="1431">
        <v>4063</v>
      </c>
      <c r="G19" s="718"/>
      <c r="H19" s="554">
        <v>429</v>
      </c>
      <c r="I19" s="1682">
        <v>12</v>
      </c>
      <c r="J19" s="621"/>
      <c r="K19" s="554">
        <v>2</v>
      </c>
      <c r="L19" s="555">
        <v>237087</v>
      </c>
      <c r="M19" s="1682">
        <v>71.8</v>
      </c>
      <c r="N19" s="933">
        <v>26952440</v>
      </c>
      <c r="O19" s="1486">
        <v>82.3</v>
      </c>
      <c r="P19" s="1682">
        <v>95</v>
      </c>
      <c r="Q19" s="621"/>
      <c r="R19" s="915">
        <v>329941</v>
      </c>
      <c r="S19" s="557">
        <v>99.9</v>
      </c>
      <c r="T19" s="926">
        <v>38466074</v>
      </c>
      <c r="U19" s="557">
        <v>80.900000000000006</v>
      </c>
      <c r="V19" s="1486">
        <v>116.6</v>
      </c>
      <c r="W19" s="1486">
        <v>11.9</v>
      </c>
      <c r="X19" s="1486">
        <v>49.6</v>
      </c>
      <c r="Y19" s="1486">
        <v>11.9</v>
      </c>
      <c r="Z19" s="1682">
        <v>50.9</v>
      </c>
      <c r="AA19" s="621"/>
      <c r="AB19" s="553">
        <v>2002</v>
      </c>
      <c r="AC19" s="523">
        <v>93</v>
      </c>
      <c r="AD19" s="522">
        <v>7789</v>
      </c>
      <c r="AE19" s="522">
        <v>5380</v>
      </c>
      <c r="AF19" s="522" t="s">
        <v>153</v>
      </c>
      <c r="AG19" s="522">
        <v>2076</v>
      </c>
      <c r="AH19" s="522">
        <v>333</v>
      </c>
      <c r="AI19" s="522" t="s">
        <v>153</v>
      </c>
      <c r="AJ19" s="522">
        <v>32</v>
      </c>
      <c r="AK19" s="1459">
        <v>1052</v>
      </c>
    </row>
    <row r="20" spans="1:37" ht="15.75" customHeight="1">
      <c r="A20" s="860" t="s">
        <v>167</v>
      </c>
      <c r="B20" s="627">
        <f>5+51+18859</f>
        <v>18915</v>
      </c>
      <c r="C20" s="628">
        <f>73+348+4017</f>
        <v>4438</v>
      </c>
      <c r="D20" s="628">
        <v>73</v>
      </c>
      <c r="E20" s="628">
        <v>348</v>
      </c>
      <c r="F20" s="1380">
        <v>4017</v>
      </c>
      <c r="G20" s="718"/>
      <c r="H20" s="627">
        <v>222</v>
      </c>
      <c r="I20" s="1685">
        <v>22.23</v>
      </c>
      <c r="J20" s="27"/>
      <c r="K20" s="75">
        <v>3</v>
      </c>
      <c r="L20" s="76">
        <v>284171</v>
      </c>
      <c r="M20" s="1686">
        <v>77.2</v>
      </c>
      <c r="N20" s="528">
        <v>31739916</v>
      </c>
      <c r="O20" s="1687">
        <v>86</v>
      </c>
      <c r="P20" s="1686">
        <v>87.3</v>
      </c>
      <c r="Q20" s="27"/>
      <c r="R20" s="507">
        <v>362391</v>
      </c>
      <c r="S20" s="74">
        <v>99.6</v>
      </c>
      <c r="T20" s="529">
        <v>42950555</v>
      </c>
      <c r="U20" s="74">
        <v>87.3</v>
      </c>
      <c r="V20" s="74">
        <v>118.5</v>
      </c>
      <c r="W20" s="74">
        <v>14.2</v>
      </c>
      <c r="X20" s="74">
        <v>54</v>
      </c>
      <c r="Y20" s="74">
        <v>9.8000000000000007</v>
      </c>
      <c r="Z20" s="1686">
        <v>46.7</v>
      </c>
      <c r="AA20" s="27"/>
      <c r="AB20" s="563">
        <v>3161</v>
      </c>
      <c r="AC20" s="634">
        <v>90.7</v>
      </c>
      <c r="AD20" s="564">
        <v>7036</v>
      </c>
      <c r="AE20" s="564">
        <v>4008</v>
      </c>
      <c r="AF20" s="564" t="s">
        <v>153</v>
      </c>
      <c r="AG20" s="564">
        <v>2885</v>
      </c>
      <c r="AH20" s="564">
        <v>143</v>
      </c>
      <c r="AI20" s="564" t="s">
        <v>153</v>
      </c>
      <c r="AJ20" s="564">
        <v>37</v>
      </c>
      <c r="AK20" s="1451">
        <v>1214</v>
      </c>
    </row>
    <row r="21" spans="1:37" ht="15.75" customHeight="1">
      <c r="A21" s="858" t="s">
        <v>173</v>
      </c>
      <c r="B21" s="655">
        <v>6022</v>
      </c>
      <c r="C21" s="577">
        <v>1728</v>
      </c>
      <c r="D21" s="577">
        <v>28</v>
      </c>
      <c r="E21" s="577">
        <v>74</v>
      </c>
      <c r="F21" s="1442">
        <v>1626</v>
      </c>
      <c r="G21" s="718"/>
      <c r="H21" s="576">
        <v>325</v>
      </c>
      <c r="I21" s="1676">
        <v>4.76</v>
      </c>
      <c r="J21" s="27"/>
      <c r="K21" s="140" t="s">
        <v>153</v>
      </c>
      <c r="L21" s="141">
        <v>307502</v>
      </c>
      <c r="M21" s="1677">
        <v>87.1</v>
      </c>
      <c r="N21" s="929">
        <v>33116362</v>
      </c>
      <c r="O21" s="1678">
        <v>75.3</v>
      </c>
      <c r="P21" s="1677">
        <v>96.62</v>
      </c>
      <c r="Q21" s="27"/>
      <c r="R21" s="911">
        <v>352931</v>
      </c>
      <c r="S21" s="136">
        <v>99.9</v>
      </c>
      <c r="T21" s="921">
        <v>36998106</v>
      </c>
      <c r="U21" s="136">
        <v>94.2</v>
      </c>
      <c r="V21" s="1678">
        <v>104.8</v>
      </c>
      <c r="W21" s="1678">
        <v>64.8</v>
      </c>
      <c r="X21" s="1678">
        <v>90.4</v>
      </c>
      <c r="Y21" s="1678">
        <v>26.6</v>
      </c>
      <c r="Z21" s="1677">
        <v>49.6</v>
      </c>
      <c r="AA21" s="27"/>
      <c r="AB21" s="586">
        <v>2551</v>
      </c>
      <c r="AC21" s="648">
        <v>89.76</v>
      </c>
      <c r="AD21" s="647">
        <v>2793</v>
      </c>
      <c r="AE21" s="647">
        <v>1100</v>
      </c>
      <c r="AF21" s="647" t="s">
        <v>148</v>
      </c>
      <c r="AG21" s="647">
        <v>1500</v>
      </c>
      <c r="AH21" s="647" t="s">
        <v>148</v>
      </c>
      <c r="AI21" s="647">
        <v>193</v>
      </c>
      <c r="AJ21" s="647">
        <v>22</v>
      </c>
      <c r="AK21" s="1542">
        <v>790</v>
      </c>
    </row>
    <row r="22" spans="1:37" ht="15.75" customHeight="1">
      <c r="A22" s="860" t="s">
        <v>267</v>
      </c>
      <c r="B22" s="633">
        <v>6634</v>
      </c>
      <c r="C22" s="628">
        <v>1317</v>
      </c>
      <c r="D22" s="628">
        <v>18</v>
      </c>
      <c r="E22" s="628">
        <v>72</v>
      </c>
      <c r="F22" s="1380">
        <v>1227</v>
      </c>
      <c r="G22" s="718"/>
      <c r="H22" s="627">
        <v>461</v>
      </c>
      <c r="I22" s="1685">
        <v>3.5</v>
      </c>
      <c r="J22" s="27"/>
      <c r="K22" s="75" t="s">
        <v>153</v>
      </c>
      <c r="L22" s="76">
        <v>535288</v>
      </c>
      <c r="M22" s="1686">
        <v>88.5</v>
      </c>
      <c r="N22" s="528">
        <v>51415282</v>
      </c>
      <c r="O22" s="1687">
        <v>91.2</v>
      </c>
      <c r="P22" s="1686">
        <v>96.3</v>
      </c>
      <c r="Q22" s="27"/>
      <c r="R22" s="507">
        <v>604891</v>
      </c>
      <c r="S22" s="74">
        <v>99.9</v>
      </c>
      <c r="T22" s="927">
        <v>57078862</v>
      </c>
      <c r="U22" s="74">
        <v>90.8</v>
      </c>
      <c r="V22" s="1687">
        <v>94.4</v>
      </c>
      <c r="W22" s="1687">
        <v>48.9</v>
      </c>
      <c r="X22" s="1687">
        <v>74.599999999999994</v>
      </c>
      <c r="Y22" s="1687">
        <v>26.33</v>
      </c>
      <c r="Z22" s="1686">
        <v>84.94</v>
      </c>
      <c r="AA22" s="27"/>
      <c r="AB22" s="563">
        <v>5041</v>
      </c>
      <c r="AC22" s="634">
        <v>71.400000000000006</v>
      </c>
      <c r="AD22" s="564">
        <v>7972</v>
      </c>
      <c r="AE22" s="564">
        <v>2643</v>
      </c>
      <c r="AF22" s="564" t="s">
        <v>153</v>
      </c>
      <c r="AG22" s="564">
        <v>890</v>
      </c>
      <c r="AH22" s="564" t="s">
        <v>153</v>
      </c>
      <c r="AI22" s="564">
        <v>4439</v>
      </c>
      <c r="AJ22" s="564">
        <v>28</v>
      </c>
      <c r="AK22" s="1451">
        <v>1043</v>
      </c>
    </row>
    <row r="23" spans="1:37" ht="15.75" customHeight="1">
      <c r="A23" s="858" t="s">
        <v>178</v>
      </c>
      <c r="B23" s="655">
        <v>8654</v>
      </c>
      <c r="C23" s="577">
        <v>1396</v>
      </c>
      <c r="D23" s="577">
        <v>17</v>
      </c>
      <c r="E23" s="577">
        <v>62</v>
      </c>
      <c r="F23" s="1442">
        <v>1317</v>
      </c>
      <c r="G23" s="718"/>
      <c r="H23" s="576">
        <v>112</v>
      </c>
      <c r="I23" s="1676">
        <v>2.78</v>
      </c>
      <c r="J23" s="27"/>
      <c r="K23" s="140" t="s">
        <v>148</v>
      </c>
      <c r="L23" s="141">
        <v>289678</v>
      </c>
      <c r="M23" s="1677">
        <v>84.3</v>
      </c>
      <c r="N23" s="929">
        <v>27561103</v>
      </c>
      <c r="O23" s="1678">
        <v>87.2</v>
      </c>
      <c r="P23" s="1677">
        <v>91.1</v>
      </c>
      <c r="Q23" s="27"/>
      <c r="R23" s="911">
        <v>371890</v>
      </c>
      <c r="S23" s="136">
        <v>99.9</v>
      </c>
      <c r="T23" s="928">
        <v>36689067</v>
      </c>
      <c r="U23" s="136">
        <v>98</v>
      </c>
      <c r="V23" s="1678">
        <v>98.7</v>
      </c>
      <c r="W23" s="1678">
        <v>33.799999999999997</v>
      </c>
      <c r="X23" s="1678">
        <v>67.900000000000006</v>
      </c>
      <c r="Y23" s="1678">
        <v>50.2</v>
      </c>
      <c r="Z23" s="1677">
        <v>34.9</v>
      </c>
      <c r="AA23" s="27"/>
      <c r="AB23" s="586">
        <v>2029</v>
      </c>
      <c r="AC23" s="648">
        <v>84.66</v>
      </c>
      <c r="AD23" s="647">
        <v>2006</v>
      </c>
      <c r="AE23" s="647">
        <v>250</v>
      </c>
      <c r="AF23" s="647" t="s">
        <v>153</v>
      </c>
      <c r="AG23" s="647">
        <v>684</v>
      </c>
      <c r="AH23" s="647">
        <v>176</v>
      </c>
      <c r="AI23" s="647">
        <v>896</v>
      </c>
      <c r="AJ23" s="647">
        <v>18</v>
      </c>
      <c r="AK23" s="1542">
        <v>749</v>
      </c>
    </row>
    <row r="24" spans="1:37" ht="15.75" customHeight="1">
      <c r="A24" s="860" t="s">
        <v>179</v>
      </c>
      <c r="B24" s="863">
        <v>6251</v>
      </c>
      <c r="C24" s="689">
        <v>1256</v>
      </c>
      <c r="D24" s="689">
        <v>22</v>
      </c>
      <c r="E24" s="689">
        <v>48</v>
      </c>
      <c r="F24" s="1558">
        <v>1186</v>
      </c>
      <c r="G24" s="718"/>
      <c r="H24" s="690">
        <v>841</v>
      </c>
      <c r="I24" s="1693">
        <v>3.39</v>
      </c>
      <c r="J24" s="27"/>
      <c r="K24" s="103">
        <v>2</v>
      </c>
      <c r="L24" s="105">
        <v>588625</v>
      </c>
      <c r="M24" s="1694">
        <v>90.9</v>
      </c>
      <c r="N24" s="525">
        <v>54435565</v>
      </c>
      <c r="O24" s="1695">
        <v>81.400000000000006</v>
      </c>
      <c r="P24" s="1694">
        <v>97.5</v>
      </c>
      <c r="Q24" s="27"/>
      <c r="R24" s="501">
        <v>626870</v>
      </c>
      <c r="S24" s="104">
        <v>98.2</v>
      </c>
      <c r="T24" s="607" t="s">
        <v>181</v>
      </c>
      <c r="U24" s="104" t="s">
        <v>181</v>
      </c>
      <c r="V24" s="1695" t="s">
        <v>181</v>
      </c>
      <c r="W24" s="1695" t="s">
        <v>181</v>
      </c>
      <c r="X24" s="1695" t="s">
        <v>181</v>
      </c>
      <c r="Y24" s="1695" t="s">
        <v>181</v>
      </c>
      <c r="Z24" s="1694" t="s">
        <v>181</v>
      </c>
      <c r="AA24" s="27"/>
      <c r="AB24" s="1041">
        <v>5967</v>
      </c>
      <c r="AC24" s="1043">
        <v>72</v>
      </c>
      <c r="AD24" s="843">
        <v>13919</v>
      </c>
      <c r="AE24" s="843">
        <v>1471</v>
      </c>
      <c r="AF24" s="564" t="s">
        <v>153</v>
      </c>
      <c r="AG24" s="843">
        <v>1260</v>
      </c>
      <c r="AH24" s="564" t="s">
        <v>153</v>
      </c>
      <c r="AI24" s="843">
        <v>11188</v>
      </c>
      <c r="AJ24" s="564">
        <v>32</v>
      </c>
      <c r="AK24" s="1451">
        <v>1509</v>
      </c>
    </row>
    <row r="25" spans="1:37" ht="15.75" customHeight="1">
      <c r="A25" s="858" t="s">
        <v>182</v>
      </c>
      <c r="B25" s="655">
        <v>8504</v>
      </c>
      <c r="C25" s="577">
        <v>1621</v>
      </c>
      <c r="D25" s="577">
        <v>21</v>
      </c>
      <c r="E25" s="577">
        <v>81</v>
      </c>
      <c r="F25" s="1442">
        <v>1519</v>
      </c>
      <c r="G25" s="718"/>
      <c r="H25" s="576">
        <v>654</v>
      </c>
      <c r="I25" s="1676">
        <v>4.3</v>
      </c>
      <c r="J25" s="27"/>
      <c r="K25" s="140" t="s">
        <v>148</v>
      </c>
      <c r="L25" s="141">
        <v>393779</v>
      </c>
      <c r="M25" s="1677">
        <v>90.7</v>
      </c>
      <c r="N25" s="929">
        <v>39311213</v>
      </c>
      <c r="O25" s="1678">
        <v>77</v>
      </c>
      <c r="P25" s="1677">
        <v>95.1</v>
      </c>
      <c r="Q25" s="27"/>
      <c r="R25" s="911">
        <v>410137</v>
      </c>
      <c r="S25" s="136">
        <v>94.7</v>
      </c>
      <c r="T25" s="921">
        <v>39548759</v>
      </c>
      <c r="U25" s="136">
        <v>95</v>
      </c>
      <c r="V25" s="1678">
        <v>96.4</v>
      </c>
      <c r="W25" s="1678">
        <v>24.21</v>
      </c>
      <c r="X25" s="1678">
        <v>88.18</v>
      </c>
      <c r="Y25" s="1678">
        <v>33.799999999999997</v>
      </c>
      <c r="Z25" s="1677">
        <v>43</v>
      </c>
      <c r="AA25" s="27"/>
      <c r="AB25" s="586">
        <v>3384</v>
      </c>
      <c r="AC25" s="648" t="s">
        <v>185</v>
      </c>
      <c r="AD25" s="647">
        <f>SUM(AE25:AI25)</f>
        <v>5199</v>
      </c>
      <c r="AE25" s="647">
        <v>832</v>
      </c>
      <c r="AF25" s="647" t="s">
        <v>153</v>
      </c>
      <c r="AG25" s="647">
        <v>144</v>
      </c>
      <c r="AH25" s="647" t="s">
        <v>153</v>
      </c>
      <c r="AI25" s="647">
        <v>4223</v>
      </c>
      <c r="AJ25" s="647">
        <v>44</v>
      </c>
      <c r="AK25" s="1542">
        <v>1891</v>
      </c>
    </row>
    <row r="26" spans="1:37" ht="15.75" customHeight="1">
      <c r="A26" s="860" t="s">
        <v>184</v>
      </c>
      <c r="B26" s="863">
        <v>6129</v>
      </c>
      <c r="C26" s="689">
        <v>1528.06</v>
      </c>
      <c r="D26" s="689">
        <v>44.92</v>
      </c>
      <c r="E26" s="689">
        <v>135.66999999999999</v>
      </c>
      <c r="F26" s="1558">
        <v>1347.47</v>
      </c>
      <c r="G26" s="718"/>
      <c r="H26" s="789">
        <v>815</v>
      </c>
      <c r="I26" s="1696">
        <v>12.3</v>
      </c>
      <c r="J26" s="27"/>
      <c r="K26" s="103" t="s">
        <v>153</v>
      </c>
      <c r="L26" s="105">
        <v>557440</v>
      </c>
      <c r="M26" s="1694">
        <f>557440/561034*100</f>
        <v>99.359397113187427</v>
      </c>
      <c r="N26" s="525">
        <v>58586523</v>
      </c>
      <c r="O26" s="1695">
        <f>58586523/67344468*100</f>
        <v>86.99530152944412</v>
      </c>
      <c r="P26" s="1694">
        <v>99.8</v>
      </c>
      <c r="Q26" s="27"/>
      <c r="R26" s="501">
        <v>578504</v>
      </c>
      <c r="S26" s="104">
        <v>99.994</v>
      </c>
      <c r="T26" s="607">
        <v>57283434</v>
      </c>
      <c r="U26" s="104">
        <v>88.52</v>
      </c>
      <c r="V26" s="1695">
        <v>99.03</v>
      </c>
      <c r="W26" s="1697" t="s">
        <v>472</v>
      </c>
      <c r="X26" s="1697" t="s">
        <v>472</v>
      </c>
      <c r="Y26" s="1695">
        <v>48</v>
      </c>
      <c r="Z26" s="1698" t="s">
        <v>472</v>
      </c>
      <c r="AA26" s="27"/>
      <c r="AB26" s="1050">
        <v>2815</v>
      </c>
      <c r="AC26" s="1052">
        <v>75.900000000000006</v>
      </c>
      <c r="AD26" s="1051">
        <f>SUM(AE26:AI26)</f>
        <v>23886</v>
      </c>
      <c r="AE26" s="1051">
        <v>1486</v>
      </c>
      <c r="AF26" s="1051">
        <v>99</v>
      </c>
      <c r="AG26" s="1051">
        <v>10711</v>
      </c>
      <c r="AH26" s="1051">
        <v>3723</v>
      </c>
      <c r="AI26" s="1051">
        <v>7867</v>
      </c>
      <c r="AJ26" s="1051">
        <v>29</v>
      </c>
      <c r="AK26" s="1566">
        <v>882</v>
      </c>
    </row>
    <row r="27" spans="1:37" ht="15.75" customHeight="1">
      <c r="A27" s="858" t="s">
        <v>186</v>
      </c>
      <c r="B27" s="655">
        <v>7017</v>
      </c>
      <c r="C27" s="577">
        <v>1523</v>
      </c>
      <c r="D27" s="577">
        <v>47</v>
      </c>
      <c r="E27" s="577">
        <v>57</v>
      </c>
      <c r="F27" s="1442">
        <v>1419</v>
      </c>
      <c r="G27" s="718"/>
      <c r="H27" s="576">
        <v>540</v>
      </c>
      <c r="I27" s="1676">
        <v>17.8</v>
      </c>
      <c r="J27" s="27"/>
      <c r="K27" s="140">
        <v>3</v>
      </c>
      <c r="L27" s="141">
        <v>379091</v>
      </c>
      <c r="M27" s="1677">
        <v>98.3</v>
      </c>
      <c r="N27" s="929">
        <v>40705685</v>
      </c>
      <c r="O27" s="1678">
        <v>79</v>
      </c>
      <c r="P27" s="1677">
        <v>99</v>
      </c>
      <c r="Q27" s="27"/>
      <c r="R27" s="911">
        <v>376161</v>
      </c>
      <c r="S27" s="136">
        <v>100</v>
      </c>
      <c r="T27" s="921">
        <v>51742426</v>
      </c>
      <c r="U27" s="136">
        <v>91.4</v>
      </c>
      <c r="V27" s="1678">
        <f>T27/R27</f>
        <v>137.55393568179582</v>
      </c>
      <c r="W27" s="1678">
        <v>46.709200805910008</v>
      </c>
      <c r="X27" s="1678">
        <v>71.009434543997045</v>
      </c>
      <c r="Y27" s="1678">
        <v>36.637224015830036</v>
      </c>
      <c r="Z27" s="1677">
        <v>86.402232409806672</v>
      </c>
      <c r="AA27" s="27"/>
      <c r="AB27" s="586">
        <v>1919</v>
      </c>
      <c r="AC27" s="648">
        <v>81.2</v>
      </c>
      <c r="AD27" s="647">
        <v>9676</v>
      </c>
      <c r="AE27" s="522">
        <v>4802</v>
      </c>
      <c r="AF27" s="522" t="s">
        <v>153</v>
      </c>
      <c r="AG27" s="522">
        <v>4112</v>
      </c>
      <c r="AH27" s="522">
        <v>376</v>
      </c>
      <c r="AI27" s="522">
        <v>386</v>
      </c>
      <c r="AJ27" s="1363">
        <v>8</v>
      </c>
      <c r="AK27" s="1699">
        <v>253</v>
      </c>
    </row>
    <row r="28" spans="1:37" ht="15.75" customHeight="1">
      <c r="A28" s="860" t="s">
        <v>187</v>
      </c>
      <c r="B28" s="633">
        <v>10881</v>
      </c>
      <c r="C28" s="628">
        <v>4079.0419999999999</v>
      </c>
      <c r="D28" s="628">
        <v>178</v>
      </c>
      <c r="E28" s="628">
        <v>710</v>
      </c>
      <c r="F28" s="1380">
        <v>3191</v>
      </c>
      <c r="G28" s="718"/>
      <c r="H28" s="627">
        <v>1143</v>
      </c>
      <c r="I28" s="1685">
        <v>14.8</v>
      </c>
      <c r="J28" s="27"/>
      <c r="K28" s="75">
        <v>8</v>
      </c>
      <c r="L28" s="76">
        <v>380585</v>
      </c>
      <c r="M28" s="1686">
        <v>93.4</v>
      </c>
      <c r="N28" s="528">
        <v>41273394</v>
      </c>
      <c r="O28" s="1687">
        <v>82.38</v>
      </c>
      <c r="P28" s="1686">
        <v>99.3</v>
      </c>
      <c r="Q28" s="27"/>
      <c r="R28" s="507">
        <v>403203</v>
      </c>
      <c r="S28" s="74">
        <v>98.97</v>
      </c>
      <c r="T28" s="672">
        <v>44111324</v>
      </c>
      <c r="U28" s="74">
        <v>90.35</v>
      </c>
      <c r="V28" s="1687">
        <v>109.4</v>
      </c>
      <c r="W28" s="1687">
        <v>57.7</v>
      </c>
      <c r="X28" s="1687">
        <v>47.1</v>
      </c>
      <c r="Y28" s="1687">
        <v>43.9</v>
      </c>
      <c r="Z28" s="1686">
        <v>42.4</v>
      </c>
      <c r="AA28" s="27"/>
      <c r="AB28" s="563">
        <v>2666</v>
      </c>
      <c r="AC28" s="634">
        <v>91.7</v>
      </c>
      <c r="AD28" s="564">
        <v>6054</v>
      </c>
      <c r="AE28" s="564">
        <v>4703</v>
      </c>
      <c r="AF28" s="564" t="s">
        <v>153</v>
      </c>
      <c r="AG28" s="564">
        <v>1351</v>
      </c>
      <c r="AH28" s="564" t="s">
        <v>153</v>
      </c>
      <c r="AI28" s="564" t="s">
        <v>153</v>
      </c>
      <c r="AJ28" s="564">
        <v>50</v>
      </c>
      <c r="AK28" s="1451">
        <v>1361</v>
      </c>
    </row>
    <row r="29" spans="1:37" ht="15.75" customHeight="1">
      <c r="A29" s="858" t="s">
        <v>269</v>
      </c>
      <c r="B29" s="640">
        <v>11899</v>
      </c>
      <c r="C29" s="555">
        <v>2473</v>
      </c>
      <c r="D29" s="555">
        <v>36</v>
      </c>
      <c r="E29" s="555">
        <v>236</v>
      </c>
      <c r="F29" s="1431">
        <v>2201</v>
      </c>
      <c r="G29" s="718"/>
      <c r="H29" s="576">
        <v>585</v>
      </c>
      <c r="I29" s="1676">
        <v>12.99</v>
      </c>
      <c r="J29" s="27"/>
      <c r="K29" s="181">
        <v>4</v>
      </c>
      <c r="L29" s="141">
        <v>437645</v>
      </c>
      <c r="M29" s="1677">
        <v>98.2</v>
      </c>
      <c r="N29" s="934">
        <v>50864668</v>
      </c>
      <c r="O29" s="1678">
        <v>85.3</v>
      </c>
      <c r="P29" s="1677">
        <v>99.8</v>
      </c>
      <c r="Q29" s="27"/>
      <c r="R29" s="911">
        <v>456339</v>
      </c>
      <c r="S29" s="136">
        <v>99.6</v>
      </c>
      <c r="T29" s="921">
        <v>48752077</v>
      </c>
      <c r="U29" s="136">
        <v>92.8</v>
      </c>
      <c r="V29" s="1678">
        <v>106.83302763953991</v>
      </c>
      <c r="W29" s="1678">
        <v>87.4</v>
      </c>
      <c r="X29" s="1486">
        <v>73.3</v>
      </c>
      <c r="Y29" s="1678">
        <v>27.9</v>
      </c>
      <c r="Z29" s="1677">
        <v>61.1</v>
      </c>
      <c r="AA29" s="27"/>
      <c r="AB29" s="586">
        <v>2814</v>
      </c>
      <c r="AC29" s="648">
        <v>89.5</v>
      </c>
      <c r="AD29" s="647">
        <v>6652</v>
      </c>
      <c r="AE29" s="647">
        <v>3381</v>
      </c>
      <c r="AF29" s="522" t="s">
        <v>153</v>
      </c>
      <c r="AG29" s="522">
        <v>3271</v>
      </c>
      <c r="AH29" s="1364" t="s">
        <v>153</v>
      </c>
      <c r="AI29" s="1364" t="s">
        <v>153</v>
      </c>
      <c r="AJ29" s="647">
        <v>28</v>
      </c>
      <c r="AK29" s="1542">
        <v>1112</v>
      </c>
    </row>
    <row r="30" spans="1:37" ht="15.75" customHeight="1">
      <c r="A30" s="860" t="s">
        <v>270</v>
      </c>
      <c r="B30" s="633">
        <v>7572</v>
      </c>
      <c r="C30" s="628">
        <v>2694</v>
      </c>
      <c r="D30" s="628">
        <v>165</v>
      </c>
      <c r="E30" s="628">
        <v>343</v>
      </c>
      <c r="F30" s="1380">
        <v>2186</v>
      </c>
      <c r="G30" s="718"/>
      <c r="H30" s="627">
        <v>399</v>
      </c>
      <c r="I30" s="1685">
        <v>15.6</v>
      </c>
      <c r="J30" s="27"/>
      <c r="K30" s="75">
        <v>6</v>
      </c>
      <c r="L30" s="76">
        <v>234640</v>
      </c>
      <c r="M30" s="1686">
        <v>98.3</v>
      </c>
      <c r="N30" s="528">
        <v>27787082</v>
      </c>
      <c r="O30" s="1687">
        <v>75.2</v>
      </c>
      <c r="P30" s="1686">
        <v>98.5</v>
      </c>
      <c r="Q30" s="27"/>
      <c r="R30" s="507">
        <v>251093</v>
      </c>
      <c r="S30" s="74">
        <v>99.9</v>
      </c>
      <c r="T30" s="672">
        <v>29772945</v>
      </c>
      <c r="U30" s="74">
        <v>90.1</v>
      </c>
      <c r="V30" s="1687">
        <v>118.6</v>
      </c>
      <c r="W30" s="1687">
        <v>8.6</v>
      </c>
      <c r="X30" s="1687">
        <v>43.5</v>
      </c>
      <c r="Y30" s="1687">
        <v>15.3</v>
      </c>
      <c r="Z30" s="1686">
        <v>39.6</v>
      </c>
      <c r="AA30" s="27"/>
      <c r="AB30" s="563">
        <v>1622</v>
      </c>
      <c r="AC30" s="634">
        <f>145974/1622</f>
        <v>89.996300863131935</v>
      </c>
      <c r="AD30" s="564">
        <v>3295</v>
      </c>
      <c r="AE30" s="564">
        <v>1905</v>
      </c>
      <c r="AF30" s="564" t="s">
        <v>153</v>
      </c>
      <c r="AG30" s="564">
        <v>1390</v>
      </c>
      <c r="AH30" s="564" t="s">
        <v>153</v>
      </c>
      <c r="AI30" s="564" t="s">
        <v>153</v>
      </c>
      <c r="AJ30" s="564">
        <v>29</v>
      </c>
      <c r="AK30" s="1451">
        <v>873</v>
      </c>
    </row>
    <row r="31" spans="1:37" ht="15.75" customHeight="1">
      <c r="A31" s="858" t="s">
        <v>271</v>
      </c>
      <c r="B31" s="864">
        <v>1950</v>
      </c>
      <c r="C31" s="865">
        <v>897</v>
      </c>
      <c r="D31" s="865">
        <v>56</v>
      </c>
      <c r="E31" s="865">
        <v>134</v>
      </c>
      <c r="F31" s="1700">
        <v>707</v>
      </c>
      <c r="G31" s="866"/>
      <c r="H31" s="867">
        <v>58</v>
      </c>
      <c r="I31" s="868">
        <v>13.6</v>
      </c>
      <c r="J31" s="27"/>
      <c r="K31" s="315">
        <v>1</v>
      </c>
      <c r="L31" s="312">
        <v>180155</v>
      </c>
      <c r="M31" s="316">
        <v>97</v>
      </c>
      <c r="N31" s="935">
        <v>21317108</v>
      </c>
      <c r="O31" s="313">
        <v>65.900000000000006</v>
      </c>
      <c r="P31" s="316">
        <v>99</v>
      </c>
      <c r="Q31" s="27"/>
      <c r="R31" s="917">
        <v>234237</v>
      </c>
      <c r="S31" s="313">
        <v>99.3</v>
      </c>
      <c r="T31" s="314">
        <v>26019007</v>
      </c>
      <c r="U31" s="313">
        <v>85.3</v>
      </c>
      <c r="V31" s="313">
        <v>111.07983367273317</v>
      </c>
      <c r="W31" s="318">
        <v>99.7</v>
      </c>
      <c r="X31" s="318">
        <v>85.4</v>
      </c>
      <c r="Y31" s="317">
        <v>18.87</v>
      </c>
      <c r="Z31" s="1701">
        <v>32.61</v>
      </c>
      <c r="AA31" s="713"/>
      <c r="AB31" s="586">
        <v>632</v>
      </c>
      <c r="AC31" s="648">
        <v>116.907</v>
      </c>
      <c r="AD31" s="647">
        <v>5091</v>
      </c>
      <c r="AE31" s="647">
        <v>2312</v>
      </c>
      <c r="AF31" s="647" t="s">
        <v>153</v>
      </c>
      <c r="AG31" s="647">
        <v>2779</v>
      </c>
      <c r="AH31" s="647" t="s">
        <v>153</v>
      </c>
      <c r="AI31" s="647" t="s">
        <v>153</v>
      </c>
      <c r="AJ31" s="647">
        <v>23</v>
      </c>
      <c r="AK31" s="1542">
        <v>522</v>
      </c>
    </row>
    <row r="32" spans="1:37" ht="15.75" customHeight="1">
      <c r="A32" s="860" t="s">
        <v>193</v>
      </c>
      <c r="B32" s="863">
        <v>14231</v>
      </c>
      <c r="C32" s="628">
        <v>5002.7</v>
      </c>
      <c r="D32" s="689">
        <v>133.5</v>
      </c>
      <c r="E32" s="689">
        <v>470.5</v>
      </c>
      <c r="F32" s="1558">
        <v>4398.7</v>
      </c>
      <c r="G32" s="718"/>
      <c r="H32" s="690">
        <v>208</v>
      </c>
      <c r="I32" s="1693">
        <v>8.02</v>
      </c>
      <c r="J32" s="27"/>
      <c r="K32" s="103">
        <v>8</v>
      </c>
      <c r="L32" s="105">
        <v>359440</v>
      </c>
      <c r="M32" s="1694">
        <v>98</v>
      </c>
      <c r="N32" s="936">
        <v>37222099</v>
      </c>
      <c r="O32" s="1695">
        <v>87.3</v>
      </c>
      <c r="P32" s="1694">
        <v>97.9</v>
      </c>
      <c r="Q32" s="27"/>
      <c r="R32" s="501">
        <v>263563</v>
      </c>
      <c r="S32" s="104">
        <v>99.8</v>
      </c>
      <c r="T32" s="227">
        <v>28149496</v>
      </c>
      <c r="U32" s="104">
        <v>85.3</v>
      </c>
      <c r="V32" s="1695">
        <v>106.8</v>
      </c>
      <c r="W32" s="1695">
        <v>62.9</v>
      </c>
      <c r="X32" s="1695">
        <v>36.1</v>
      </c>
      <c r="Y32" s="1695">
        <v>16.2</v>
      </c>
      <c r="Z32" s="1694">
        <v>43.8</v>
      </c>
      <c r="AA32" s="27"/>
      <c r="AB32" s="563">
        <v>2181</v>
      </c>
      <c r="AC32" s="634">
        <v>93.8</v>
      </c>
      <c r="AD32" s="843">
        <f>AE32+AG32+AH32</f>
        <v>7711</v>
      </c>
      <c r="AE32" s="843">
        <v>3377</v>
      </c>
      <c r="AF32" s="564" t="s">
        <v>153</v>
      </c>
      <c r="AG32" s="843">
        <v>3994</v>
      </c>
      <c r="AH32" s="843">
        <v>340</v>
      </c>
      <c r="AI32" s="564" t="s">
        <v>153</v>
      </c>
      <c r="AJ32" s="843">
        <v>32</v>
      </c>
      <c r="AK32" s="1577">
        <v>900</v>
      </c>
    </row>
    <row r="33" spans="1:37" ht="15.75" customHeight="1">
      <c r="A33" s="858" t="s">
        <v>272</v>
      </c>
      <c r="B33" s="640">
        <f>6927+1+5+11+25</f>
        <v>6969</v>
      </c>
      <c r="C33" s="555">
        <f>110+268+2375</f>
        <v>2753</v>
      </c>
      <c r="D33" s="555">
        <v>110</v>
      </c>
      <c r="E33" s="555">
        <v>268</v>
      </c>
      <c r="F33" s="1431">
        <v>2375</v>
      </c>
      <c r="G33" s="718"/>
      <c r="H33" s="554">
        <v>162</v>
      </c>
      <c r="I33" s="1682">
        <v>14.67</v>
      </c>
      <c r="J33" s="27"/>
      <c r="K33" s="140">
        <v>5</v>
      </c>
      <c r="L33" s="141">
        <v>229185</v>
      </c>
      <c r="M33" s="1677">
        <v>97.23</v>
      </c>
      <c r="N33" s="934">
        <v>26964750</v>
      </c>
      <c r="O33" s="1678">
        <v>74.5</v>
      </c>
      <c r="P33" s="1677">
        <v>99.86</v>
      </c>
      <c r="Q33" s="27"/>
      <c r="R33" s="911">
        <v>234733</v>
      </c>
      <c r="S33" s="557">
        <v>99.7</v>
      </c>
      <c r="T33" s="928">
        <v>25153159</v>
      </c>
      <c r="U33" s="136">
        <v>87.6</v>
      </c>
      <c r="V33" s="1678">
        <v>107.16</v>
      </c>
      <c r="W33" s="1678">
        <v>36.700000000000003</v>
      </c>
      <c r="X33" s="1678">
        <v>55.4</v>
      </c>
      <c r="Y33" s="1678">
        <v>14.8</v>
      </c>
      <c r="Z33" s="1677">
        <v>40.5</v>
      </c>
      <c r="AA33" s="27"/>
      <c r="AB33" s="553">
        <v>1698</v>
      </c>
      <c r="AC33" s="523">
        <v>82.9</v>
      </c>
      <c r="AD33" s="522">
        <f>AE33+AG33</f>
        <v>5323</v>
      </c>
      <c r="AE33" s="522">
        <v>2692</v>
      </c>
      <c r="AF33" s="522" t="s">
        <v>153</v>
      </c>
      <c r="AG33" s="522">
        <v>2631</v>
      </c>
      <c r="AH33" s="522" t="s">
        <v>153</v>
      </c>
      <c r="AI33" s="522" t="s">
        <v>153</v>
      </c>
      <c r="AJ33" s="522">
        <v>22</v>
      </c>
      <c r="AK33" s="1459">
        <v>589</v>
      </c>
    </row>
    <row r="34" spans="1:37" ht="15.75" customHeight="1">
      <c r="A34" s="860" t="s">
        <v>196</v>
      </c>
      <c r="B34" s="633">
        <v>10847</v>
      </c>
      <c r="C34" s="628">
        <v>2830</v>
      </c>
      <c r="D34" s="628">
        <v>42</v>
      </c>
      <c r="E34" s="628">
        <v>201</v>
      </c>
      <c r="F34" s="1380">
        <v>2587</v>
      </c>
      <c r="G34" s="1380">
        <v>2587</v>
      </c>
      <c r="H34" s="627">
        <v>379</v>
      </c>
      <c r="I34" s="1685">
        <v>9</v>
      </c>
      <c r="J34" s="27"/>
      <c r="K34" s="75">
        <v>4</v>
      </c>
      <c r="L34" s="76">
        <v>377800</v>
      </c>
      <c r="M34" s="1686">
        <v>94.1</v>
      </c>
      <c r="N34" s="671">
        <v>42933385</v>
      </c>
      <c r="O34" s="1687">
        <v>76.599999999999994</v>
      </c>
      <c r="P34" s="1686">
        <v>97.5</v>
      </c>
      <c r="Q34" s="27"/>
      <c r="R34" s="507">
        <v>343091</v>
      </c>
      <c r="S34" s="74">
        <v>85.5</v>
      </c>
      <c r="T34" s="927">
        <v>38535185</v>
      </c>
      <c r="U34" s="74">
        <v>73.2</v>
      </c>
      <c r="V34" s="1687">
        <v>112.3</v>
      </c>
      <c r="W34" s="1687">
        <v>66</v>
      </c>
      <c r="X34" s="1687">
        <v>75.900000000000006</v>
      </c>
      <c r="Y34" s="1687">
        <v>22.8</v>
      </c>
      <c r="Z34" s="1686">
        <v>48.8</v>
      </c>
      <c r="AA34" s="27"/>
      <c r="AB34" s="563">
        <v>3122</v>
      </c>
      <c r="AC34" s="634">
        <v>88</v>
      </c>
      <c r="AD34" s="564">
        <v>4932</v>
      </c>
      <c r="AE34" s="564">
        <v>3535</v>
      </c>
      <c r="AF34" s="564" t="s">
        <v>153</v>
      </c>
      <c r="AG34" s="564">
        <v>1050</v>
      </c>
      <c r="AH34" s="564">
        <v>347</v>
      </c>
      <c r="AI34" s="564" t="s">
        <v>153</v>
      </c>
      <c r="AJ34" s="564">
        <v>55</v>
      </c>
      <c r="AK34" s="1451">
        <v>1860</v>
      </c>
    </row>
    <row r="35" spans="1:37" ht="15.75" customHeight="1">
      <c r="A35" s="858" t="s">
        <v>197</v>
      </c>
      <c r="B35" s="640">
        <v>13683</v>
      </c>
      <c r="C35" s="555">
        <v>3731</v>
      </c>
      <c r="D35" s="555">
        <v>88</v>
      </c>
      <c r="E35" s="555">
        <v>180</v>
      </c>
      <c r="F35" s="1431">
        <v>3463</v>
      </c>
      <c r="G35" s="718"/>
      <c r="H35" s="554">
        <v>415</v>
      </c>
      <c r="I35" s="1682">
        <v>10.4</v>
      </c>
      <c r="J35" s="27"/>
      <c r="K35" s="238">
        <v>16</v>
      </c>
      <c r="L35" s="241">
        <v>296434</v>
      </c>
      <c r="M35" s="1683">
        <v>80.260000000000005</v>
      </c>
      <c r="N35" s="930">
        <v>29876162</v>
      </c>
      <c r="O35" s="1684">
        <v>75.540000000000006</v>
      </c>
      <c r="P35" s="1683">
        <v>92.1</v>
      </c>
      <c r="Q35" s="27"/>
      <c r="R35" s="912">
        <v>368683</v>
      </c>
      <c r="S35" s="242">
        <v>99.82</v>
      </c>
      <c r="T35" s="923">
        <v>37361904</v>
      </c>
      <c r="U35" s="242">
        <v>93.02</v>
      </c>
      <c r="V35" s="1684">
        <v>101.33799999999999</v>
      </c>
      <c r="W35" s="1684">
        <v>47.3</v>
      </c>
      <c r="X35" s="1684">
        <v>100</v>
      </c>
      <c r="Y35" s="1684">
        <v>20.9</v>
      </c>
      <c r="Z35" s="1683">
        <v>51.2</v>
      </c>
      <c r="AA35" s="27"/>
      <c r="AB35" s="553">
        <v>2326</v>
      </c>
      <c r="AC35" s="523">
        <v>92</v>
      </c>
      <c r="AD35" s="522">
        <v>6397</v>
      </c>
      <c r="AE35" s="522">
        <v>3822</v>
      </c>
      <c r="AF35" s="522" t="s">
        <v>153</v>
      </c>
      <c r="AG35" s="522">
        <v>2575</v>
      </c>
      <c r="AH35" s="522" t="s">
        <v>153</v>
      </c>
      <c r="AI35" s="522" t="s">
        <v>153</v>
      </c>
      <c r="AJ35" s="522">
        <v>10</v>
      </c>
      <c r="AK35" s="1459">
        <v>337</v>
      </c>
    </row>
    <row r="36" spans="1:37" ht="15.75" customHeight="1">
      <c r="A36" s="860" t="s">
        <v>198</v>
      </c>
      <c r="B36" s="633">
        <v>6955</v>
      </c>
      <c r="C36" s="628">
        <v>2521</v>
      </c>
      <c r="D36" s="628">
        <v>106</v>
      </c>
      <c r="E36" s="628">
        <v>264</v>
      </c>
      <c r="F36" s="1380">
        <v>2151</v>
      </c>
      <c r="G36" s="718"/>
      <c r="H36" s="627">
        <v>257</v>
      </c>
      <c r="I36" s="1685">
        <v>11.33</v>
      </c>
      <c r="J36" s="27"/>
      <c r="K36" s="75" t="s">
        <v>153</v>
      </c>
      <c r="L36" s="76">
        <v>342884</v>
      </c>
      <c r="M36" s="1686">
        <v>89.3</v>
      </c>
      <c r="N36" s="528">
        <v>32647354</v>
      </c>
      <c r="O36" s="1687">
        <v>90.4</v>
      </c>
      <c r="P36" s="1686">
        <v>96.5</v>
      </c>
      <c r="Q36" s="27"/>
      <c r="R36" s="507">
        <v>383470</v>
      </c>
      <c r="S36" s="74">
        <v>100</v>
      </c>
      <c r="T36" s="672">
        <v>39991999</v>
      </c>
      <c r="U36" s="74">
        <v>98.5</v>
      </c>
      <c r="V36" s="1687">
        <v>104.28977234203458</v>
      </c>
      <c r="W36" s="1687">
        <v>98.1</v>
      </c>
      <c r="X36" s="1687">
        <v>100</v>
      </c>
      <c r="Y36" s="1687">
        <v>13.4</v>
      </c>
      <c r="Z36" s="1686">
        <v>49.2</v>
      </c>
      <c r="AA36" s="27"/>
      <c r="AB36" s="563">
        <v>2975</v>
      </c>
      <c r="AC36" s="634">
        <v>86.2</v>
      </c>
      <c r="AD36" s="564">
        <v>4625</v>
      </c>
      <c r="AE36" s="564">
        <v>2963</v>
      </c>
      <c r="AF36" s="564" t="s">
        <v>153</v>
      </c>
      <c r="AG36" s="564">
        <v>1674</v>
      </c>
      <c r="AH36" s="564" t="s">
        <v>153</v>
      </c>
      <c r="AI36" s="564" t="s">
        <v>153</v>
      </c>
      <c r="AJ36" s="564">
        <v>19</v>
      </c>
      <c r="AK36" s="1451">
        <v>659</v>
      </c>
    </row>
    <row r="37" spans="1:37" ht="15.75" customHeight="1">
      <c r="A37" s="858" t="s">
        <v>199</v>
      </c>
      <c r="B37" s="640">
        <v>10579</v>
      </c>
      <c r="C37" s="555">
        <v>2497</v>
      </c>
      <c r="D37" s="555">
        <v>30.766999999999999</v>
      </c>
      <c r="E37" s="555">
        <v>131.46199999999999</v>
      </c>
      <c r="F37" s="1431">
        <v>2334.8069999999998</v>
      </c>
      <c r="G37" s="718"/>
      <c r="H37" s="556">
        <v>138</v>
      </c>
      <c r="I37" s="1682">
        <v>4.9000000000000004</v>
      </c>
      <c r="J37" s="27"/>
      <c r="K37" s="238">
        <v>2</v>
      </c>
      <c r="L37" s="241">
        <v>263211</v>
      </c>
      <c r="M37" s="1683">
        <v>69.400000000000006</v>
      </c>
      <c r="N37" s="930">
        <v>25389957</v>
      </c>
      <c r="O37" s="376">
        <v>67.3</v>
      </c>
      <c r="P37" s="1683">
        <v>85.4</v>
      </c>
      <c r="Q37" s="27"/>
      <c r="R37" s="912">
        <v>379480</v>
      </c>
      <c r="S37" s="242">
        <v>99.98</v>
      </c>
      <c r="T37" s="923">
        <v>37652058</v>
      </c>
      <c r="U37" s="242">
        <v>91.6</v>
      </c>
      <c r="V37" s="1684">
        <v>99.2</v>
      </c>
      <c r="W37" s="1684">
        <v>52.1</v>
      </c>
      <c r="X37" s="1684">
        <v>92.1</v>
      </c>
      <c r="Y37" s="1684">
        <v>11.6</v>
      </c>
      <c r="Z37" s="1683">
        <v>31.3</v>
      </c>
      <c r="AA37" s="27"/>
      <c r="AB37" s="553">
        <v>2312</v>
      </c>
      <c r="AC37" s="523">
        <v>95.7</v>
      </c>
      <c r="AD37" s="522">
        <v>5544</v>
      </c>
      <c r="AE37" s="522">
        <v>2757</v>
      </c>
      <c r="AF37" s="522" t="s">
        <v>148</v>
      </c>
      <c r="AG37" s="522">
        <v>2787</v>
      </c>
      <c r="AH37" s="522" t="s">
        <v>148</v>
      </c>
      <c r="AI37" s="522" t="s">
        <v>148</v>
      </c>
      <c r="AJ37" s="522">
        <v>18</v>
      </c>
      <c r="AK37" s="1459">
        <v>652</v>
      </c>
    </row>
    <row r="38" spans="1:37" ht="15.75" customHeight="1">
      <c r="A38" s="860" t="s">
        <v>201</v>
      </c>
      <c r="B38" s="863">
        <v>6005</v>
      </c>
      <c r="C38" s="689">
        <v>3545</v>
      </c>
      <c r="D38" s="689">
        <v>203.7</v>
      </c>
      <c r="E38" s="689">
        <v>610.1</v>
      </c>
      <c r="F38" s="1558">
        <v>2730.7</v>
      </c>
      <c r="G38" s="718"/>
      <c r="H38" s="869">
        <v>191</v>
      </c>
      <c r="I38" s="1693">
        <v>11.19</v>
      </c>
      <c r="J38" s="27"/>
      <c r="K38" s="103">
        <v>2</v>
      </c>
      <c r="L38" s="206">
        <v>317835</v>
      </c>
      <c r="M38" s="1688">
        <v>76.3</v>
      </c>
      <c r="N38" s="931">
        <v>30993953</v>
      </c>
      <c r="O38" s="221">
        <v>92.3</v>
      </c>
      <c r="P38" s="1688">
        <v>91.2</v>
      </c>
      <c r="Q38" s="27"/>
      <c r="R38" s="913">
        <v>416614</v>
      </c>
      <c r="S38" s="207">
        <v>99.97</v>
      </c>
      <c r="T38" s="924">
        <v>44073462</v>
      </c>
      <c r="U38" s="207">
        <v>89.59</v>
      </c>
      <c r="V38" s="1689">
        <v>105.78968061562982</v>
      </c>
      <c r="W38" s="1689">
        <v>81.099999999999994</v>
      </c>
      <c r="X38" s="1689">
        <v>73.400000000000006</v>
      </c>
      <c r="Y38" s="1689">
        <v>22.61</v>
      </c>
      <c r="Z38" s="1688">
        <v>38.130000000000003</v>
      </c>
      <c r="AA38" s="27"/>
      <c r="AB38" s="1041">
        <v>2422</v>
      </c>
      <c r="AC38" s="1043">
        <v>94.260120000000001</v>
      </c>
      <c r="AD38" s="564">
        <v>7869</v>
      </c>
      <c r="AE38" s="843">
        <v>2064</v>
      </c>
      <c r="AF38" s="564" t="s">
        <v>153</v>
      </c>
      <c r="AG38" s="843">
        <v>4827</v>
      </c>
      <c r="AH38" s="564" t="s">
        <v>153</v>
      </c>
      <c r="AI38" s="843">
        <v>978</v>
      </c>
      <c r="AJ38" s="843">
        <v>13</v>
      </c>
      <c r="AK38" s="1577">
        <v>415</v>
      </c>
    </row>
    <row r="39" spans="1:37" ht="15.75" customHeight="1">
      <c r="A39" s="858" t="s">
        <v>203</v>
      </c>
      <c r="B39" s="655">
        <v>6563</v>
      </c>
      <c r="C39" s="577">
        <v>1873</v>
      </c>
      <c r="D39" s="577">
        <v>54</v>
      </c>
      <c r="E39" s="577">
        <v>269</v>
      </c>
      <c r="F39" s="1442">
        <v>1550</v>
      </c>
      <c r="G39" s="718"/>
      <c r="H39" s="576">
        <v>228</v>
      </c>
      <c r="I39" s="1676">
        <v>7.7460000000000004</v>
      </c>
      <c r="J39" s="27"/>
      <c r="K39" s="140">
        <v>4</v>
      </c>
      <c r="L39" s="141">
        <v>338754</v>
      </c>
      <c r="M39" s="1677">
        <v>98.5</v>
      </c>
      <c r="N39" s="929">
        <v>37150489</v>
      </c>
      <c r="O39" s="1678">
        <v>81.760000000000005</v>
      </c>
      <c r="P39" s="1677">
        <v>99</v>
      </c>
      <c r="Q39" s="27"/>
      <c r="R39" s="911">
        <v>342779</v>
      </c>
      <c r="S39" s="136">
        <v>100</v>
      </c>
      <c r="T39" s="921">
        <v>37801010</v>
      </c>
      <c r="U39" s="136">
        <v>96.2</v>
      </c>
      <c r="V39" s="1678">
        <v>110.3</v>
      </c>
      <c r="W39" s="136">
        <v>23.5</v>
      </c>
      <c r="X39" s="136">
        <v>65.599999999999994</v>
      </c>
      <c r="Y39" s="1678">
        <v>32.4</v>
      </c>
      <c r="Z39" s="1677">
        <v>51.5</v>
      </c>
      <c r="AA39" s="27"/>
      <c r="AB39" s="586">
        <v>2239</v>
      </c>
      <c r="AC39" s="648">
        <v>90.9</v>
      </c>
      <c r="AD39" s="647">
        <f>AE39+AG39</f>
        <v>3920</v>
      </c>
      <c r="AE39" s="647">
        <v>2929</v>
      </c>
      <c r="AF39" s="647" t="s">
        <v>153</v>
      </c>
      <c r="AG39" s="647">
        <v>991</v>
      </c>
      <c r="AH39" s="647" t="s">
        <v>153</v>
      </c>
      <c r="AI39" s="647">
        <v>1060</v>
      </c>
      <c r="AJ39" s="647">
        <v>26</v>
      </c>
      <c r="AK39" s="1542">
        <v>813</v>
      </c>
    </row>
    <row r="40" spans="1:37" ht="15.75" customHeight="1">
      <c r="A40" s="860" t="s">
        <v>204</v>
      </c>
      <c r="B40" s="863">
        <v>3934</v>
      </c>
      <c r="C40" s="689">
        <v>723</v>
      </c>
      <c r="D40" s="689">
        <v>13</v>
      </c>
      <c r="E40" s="689">
        <v>40</v>
      </c>
      <c r="F40" s="1558">
        <v>674</v>
      </c>
      <c r="G40" s="718"/>
      <c r="H40" s="627">
        <v>432</v>
      </c>
      <c r="I40" s="1685">
        <v>4</v>
      </c>
      <c r="J40" s="27"/>
      <c r="K40" s="103">
        <v>1</v>
      </c>
      <c r="L40" s="105">
        <v>399011</v>
      </c>
      <c r="M40" s="1694">
        <v>99.9</v>
      </c>
      <c r="N40" s="525">
        <v>43774581</v>
      </c>
      <c r="O40" s="1695">
        <v>71.099999999999994</v>
      </c>
      <c r="P40" s="1694">
        <v>100</v>
      </c>
      <c r="Q40" s="27"/>
      <c r="R40" s="501">
        <v>399022</v>
      </c>
      <c r="S40" s="104">
        <v>100</v>
      </c>
      <c r="T40" s="224">
        <v>41898230</v>
      </c>
      <c r="U40" s="104">
        <v>98.2</v>
      </c>
      <c r="V40" s="1695">
        <v>106.9</v>
      </c>
      <c r="W40" s="1695">
        <v>0</v>
      </c>
      <c r="X40" s="1695">
        <v>100</v>
      </c>
      <c r="Y40" s="1695">
        <v>29.5</v>
      </c>
      <c r="Z40" s="1694">
        <v>72.400000000000006</v>
      </c>
      <c r="AA40" s="27"/>
      <c r="AB40" s="1041">
        <v>2619</v>
      </c>
      <c r="AC40" s="1043">
        <v>76.2</v>
      </c>
      <c r="AD40" s="564">
        <v>16706</v>
      </c>
      <c r="AE40" s="843">
        <v>2419</v>
      </c>
      <c r="AF40" s="843" t="s">
        <v>153</v>
      </c>
      <c r="AG40" s="843">
        <v>5354</v>
      </c>
      <c r="AH40" s="843">
        <v>1314</v>
      </c>
      <c r="AI40" s="843">
        <v>7619</v>
      </c>
      <c r="AJ40" s="843">
        <v>39</v>
      </c>
      <c r="AK40" s="1577">
        <v>1605</v>
      </c>
    </row>
    <row r="41" spans="1:37" ht="15.75" customHeight="1">
      <c r="A41" s="858" t="s">
        <v>205</v>
      </c>
      <c r="B41" s="640">
        <v>3105</v>
      </c>
      <c r="C41" s="555">
        <v>600</v>
      </c>
      <c r="D41" s="577">
        <v>9</v>
      </c>
      <c r="E41" s="577">
        <v>45</v>
      </c>
      <c r="F41" s="1431">
        <v>546</v>
      </c>
      <c r="G41" s="718"/>
      <c r="H41" s="576">
        <v>138</v>
      </c>
      <c r="I41" s="1682">
        <v>8.5</v>
      </c>
      <c r="J41" s="27"/>
      <c r="K41" s="140">
        <v>2</v>
      </c>
      <c r="L41" s="241">
        <v>380969</v>
      </c>
      <c r="M41" s="1677">
        <v>99.9</v>
      </c>
      <c r="N41" s="930">
        <v>42618713</v>
      </c>
      <c r="O41" s="1684">
        <v>79.400000000000006</v>
      </c>
      <c r="P41" s="1677">
        <v>99.9</v>
      </c>
      <c r="Q41" s="27"/>
      <c r="R41" s="912">
        <v>380826</v>
      </c>
      <c r="S41" s="242">
        <v>99.9</v>
      </c>
      <c r="T41" s="923">
        <v>39923144</v>
      </c>
      <c r="U41" s="242">
        <v>95.7</v>
      </c>
      <c r="V41" s="1684">
        <f>T41/R41</f>
        <v>104.83303135815306</v>
      </c>
      <c r="W41" s="1684">
        <v>26.4</v>
      </c>
      <c r="X41" s="1684">
        <v>89.2</v>
      </c>
      <c r="Y41" s="1684">
        <v>25.1</v>
      </c>
      <c r="Z41" s="1683">
        <v>55</v>
      </c>
      <c r="AA41" s="27"/>
      <c r="AB41" s="553">
        <v>3709</v>
      </c>
      <c r="AC41" s="523">
        <v>60.4</v>
      </c>
      <c r="AD41" s="522">
        <v>19625</v>
      </c>
      <c r="AE41" s="522">
        <v>1160</v>
      </c>
      <c r="AF41" s="647" t="s">
        <v>148</v>
      </c>
      <c r="AG41" s="522">
        <v>8623</v>
      </c>
      <c r="AH41" s="647">
        <v>2312</v>
      </c>
      <c r="AI41" s="647">
        <v>7530</v>
      </c>
      <c r="AJ41" s="522">
        <v>25</v>
      </c>
      <c r="AK41" s="1459">
        <v>1188</v>
      </c>
    </row>
    <row r="42" spans="1:37" ht="15.75" customHeight="1">
      <c r="A42" s="860" t="s">
        <v>208</v>
      </c>
      <c r="B42" s="863">
        <v>6418</v>
      </c>
      <c r="C42" s="628">
        <v>1003</v>
      </c>
      <c r="D42" s="628">
        <v>13</v>
      </c>
      <c r="E42" s="633">
        <v>81</v>
      </c>
      <c r="F42" s="1380">
        <v>909</v>
      </c>
      <c r="G42" s="718"/>
      <c r="H42" s="690">
        <v>221</v>
      </c>
      <c r="I42" s="1693">
        <v>5.9</v>
      </c>
      <c r="J42" s="27"/>
      <c r="K42" s="269" t="s">
        <v>153</v>
      </c>
      <c r="L42" s="76">
        <v>346822</v>
      </c>
      <c r="M42" s="1702">
        <v>99.7</v>
      </c>
      <c r="N42" s="671">
        <v>35204399</v>
      </c>
      <c r="O42" s="1703">
        <v>80.7</v>
      </c>
      <c r="P42" s="1702">
        <v>99.75</v>
      </c>
      <c r="Q42" s="714"/>
      <c r="R42" s="918">
        <v>347966</v>
      </c>
      <c r="S42" s="116">
        <v>99.99</v>
      </c>
      <c r="T42" s="227">
        <v>34291473</v>
      </c>
      <c r="U42" s="116">
        <v>95.1</v>
      </c>
      <c r="V42" s="1704">
        <v>98.548343803704967</v>
      </c>
      <c r="W42" s="1704">
        <v>100</v>
      </c>
      <c r="X42" s="1704">
        <v>99.81</v>
      </c>
      <c r="Y42" s="1704">
        <v>19.88</v>
      </c>
      <c r="Z42" s="1705">
        <v>54.19</v>
      </c>
      <c r="AA42" s="714"/>
      <c r="AB42" s="1041">
        <v>1865</v>
      </c>
      <c r="AC42" s="1043">
        <f>162509/AB42</f>
        <v>87.136193029490613</v>
      </c>
      <c r="AD42" s="843">
        <f>SUM(AE42:AI42)</f>
        <v>14997</v>
      </c>
      <c r="AE42" s="843">
        <v>522</v>
      </c>
      <c r="AF42" s="628" t="s">
        <v>153</v>
      </c>
      <c r="AG42" s="843">
        <v>6607</v>
      </c>
      <c r="AH42" s="689">
        <v>1709</v>
      </c>
      <c r="AI42" s="843">
        <v>6159</v>
      </c>
      <c r="AJ42" s="843">
        <v>16</v>
      </c>
      <c r="AK42" s="1577">
        <v>727</v>
      </c>
    </row>
    <row r="43" spans="1:37" ht="15.75" customHeight="1">
      <c r="A43" s="858" t="s">
        <v>209</v>
      </c>
      <c r="B43" s="655">
        <v>4378</v>
      </c>
      <c r="C43" s="577">
        <v>887</v>
      </c>
      <c r="D43" s="577">
        <v>27</v>
      </c>
      <c r="E43" s="577">
        <v>65</v>
      </c>
      <c r="F43" s="1442">
        <v>795</v>
      </c>
      <c r="G43" s="718"/>
      <c r="H43" s="576">
        <v>518</v>
      </c>
      <c r="I43" s="1676">
        <v>5.67</v>
      </c>
      <c r="J43" s="27"/>
      <c r="K43" s="238" t="s">
        <v>153</v>
      </c>
      <c r="L43" s="141">
        <v>385795</v>
      </c>
      <c r="M43" s="1677">
        <v>97.6</v>
      </c>
      <c r="N43" s="929">
        <v>39243529</v>
      </c>
      <c r="O43" s="1678">
        <v>89.1</v>
      </c>
      <c r="P43" s="1677">
        <v>99.376169997470271</v>
      </c>
      <c r="Q43" s="27"/>
      <c r="R43" s="911">
        <v>395280</v>
      </c>
      <c r="S43" s="136">
        <v>100</v>
      </c>
      <c r="T43" s="921">
        <v>40938090</v>
      </c>
      <c r="U43" s="136">
        <v>93.6</v>
      </c>
      <c r="V43" s="1678">
        <v>104</v>
      </c>
      <c r="W43" s="1678">
        <v>0</v>
      </c>
      <c r="X43" s="1678">
        <v>65.400000000000006</v>
      </c>
      <c r="Y43" s="1678">
        <v>28.5</v>
      </c>
      <c r="Z43" s="1677">
        <v>37.43</v>
      </c>
      <c r="AA43" s="27"/>
      <c r="AB43" s="586">
        <v>2122</v>
      </c>
      <c r="AC43" s="523">
        <v>82.59</v>
      </c>
      <c r="AD43" s="647">
        <v>14547</v>
      </c>
      <c r="AE43" s="522">
        <v>28</v>
      </c>
      <c r="AF43" s="522" t="s">
        <v>153</v>
      </c>
      <c r="AG43" s="522">
        <v>7854</v>
      </c>
      <c r="AH43" s="522">
        <v>910</v>
      </c>
      <c r="AI43" s="522">
        <v>5755</v>
      </c>
      <c r="AJ43" s="522">
        <v>34</v>
      </c>
      <c r="AK43" s="1459">
        <v>1447</v>
      </c>
    </row>
    <row r="44" spans="1:37" ht="15.75" customHeight="1">
      <c r="A44" s="860" t="s">
        <v>273</v>
      </c>
      <c r="B44" s="863">
        <v>4334</v>
      </c>
      <c r="C44" s="628">
        <v>668</v>
      </c>
      <c r="D44" s="628">
        <v>5</v>
      </c>
      <c r="E44" s="628">
        <v>51</v>
      </c>
      <c r="F44" s="1380">
        <v>612</v>
      </c>
      <c r="G44" s="718"/>
      <c r="H44" s="690">
        <v>314</v>
      </c>
      <c r="I44" s="1693">
        <v>3</v>
      </c>
      <c r="J44" s="27"/>
      <c r="K44" s="75" t="s">
        <v>153</v>
      </c>
      <c r="L44" s="105">
        <v>247276</v>
      </c>
      <c r="M44" s="1694">
        <v>94.7</v>
      </c>
      <c r="N44" s="525">
        <v>27156867</v>
      </c>
      <c r="O44" s="1695">
        <v>61.3</v>
      </c>
      <c r="P44" s="1694">
        <v>95.7</v>
      </c>
      <c r="Q44" s="27"/>
      <c r="R44" s="501">
        <v>261148</v>
      </c>
      <c r="S44" s="104">
        <v>99.9</v>
      </c>
      <c r="T44" s="607">
        <v>28860277</v>
      </c>
      <c r="U44" s="104">
        <v>93.5</v>
      </c>
      <c r="V44" s="1695">
        <v>110.51</v>
      </c>
      <c r="W44" s="1695">
        <v>0</v>
      </c>
      <c r="X44" s="1695">
        <v>46.5</v>
      </c>
      <c r="Y44" s="1695">
        <v>25.96</v>
      </c>
      <c r="Z44" s="1694">
        <v>23.51</v>
      </c>
      <c r="AA44" s="27"/>
      <c r="AB44" s="1041">
        <v>1448</v>
      </c>
      <c r="AC44" s="1043">
        <v>83.1</v>
      </c>
      <c r="AD44" s="843">
        <f>SUM(AE44:AI44)</f>
        <v>6461</v>
      </c>
      <c r="AE44" s="843">
        <v>1862</v>
      </c>
      <c r="AF44" s="843" t="s">
        <v>148</v>
      </c>
      <c r="AG44" s="843">
        <v>3979</v>
      </c>
      <c r="AH44" s="843">
        <v>104</v>
      </c>
      <c r="AI44" s="843">
        <v>516</v>
      </c>
      <c r="AJ44" s="843">
        <v>48</v>
      </c>
      <c r="AK44" s="1577">
        <v>1815</v>
      </c>
    </row>
    <row r="45" spans="1:37" ht="15.75" customHeight="1">
      <c r="A45" s="858" t="s">
        <v>274</v>
      </c>
      <c r="B45" s="653">
        <v>2099</v>
      </c>
      <c r="C45" s="577">
        <v>384</v>
      </c>
      <c r="D45" s="577">
        <v>19</v>
      </c>
      <c r="E45" s="577">
        <v>35</v>
      </c>
      <c r="F45" s="1442">
        <v>330</v>
      </c>
      <c r="G45" s="718"/>
      <c r="H45" s="576">
        <v>79</v>
      </c>
      <c r="I45" s="1676">
        <v>5.8</v>
      </c>
      <c r="J45" s="27"/>
      <c r="K45" s="140" t="s">
        <v>153</v>
      </c>
      <c r="L45" s="1706">
        <v>226096</v>
      </c>
      <c r="M45" s="1707">
        <v>99.7</v>
      </c>
      <c r="N45" s="934">
        <v>22831496</v>
      </c>
      <c r="O45" s="1708">
        <v>71.2</v>
      </c>
      <c r="P45" s="1707">
        <v>99.7</v>
      </c>
      <c r="Q45" s="27"/>
      <c r="R45" s="916">
        <v>226693</v>
      </c>
      <c r="S45" s="156">
        <v>100</v>
      </c>
      <c r="T45" s="928">
        <v>22763244</v>
      </c>
      <c r="U45" s="156">
        <v>97.7</v>
      </c>
      <c r="V45" s="1708">
        <v>100.4</v>
      </c>
      <c r="W45" s="1708" t="s">
        <v>148</v>
      </c>
      <c r="X45" s="1708">
        <v>100</v>
      </c>
      <c r="Y45" s="1708">
        <v>12.4</v>
      </c>
      <c r="Z45" s="1707">
        <v>25.1</v>
      </c>
      <c r="AA45" s="714"/>
      <c r="AB45" s="1365">
        <v>1241</v>
      </c>
      <c r="AC45" s="648">
        <v>79</v>
      </c>
      <c r="AD45" s="647">
        <v>8403</v>
      </c>
      <c r="AE45" s="647">
        <v>440</v>
      </c>
      <c r="AF45" s="647" t="s">
        <v>153</v>
      </c>
      <c r="AG45" s="647">
        <v>4842</v>
      </c>
      <c r="AH45" s="647">
        <v>1536</v>
      </c>
      <c r="AI45" s="647">
        <v>1585</v>
      </c>
      <c r="AJ45" s="522">
        <v>17</v>
      </c>
      <c r="AK45" s="1459">
        <v>652</v>
      </c>
    </row>
    <row r="46" spans="1:37" ht="15.75" customHeight="1">
      <c r="A46" s="860" t="s">
        <v>215</v>
      </c>
      <c r="B46" s="863">
        <v>4773</v>
      </c>
      <c r="C46" s="628">
        <v>961</v>
      </c>
      <c r="D46" s="628">
        <v>23</v>
      </c>
      <c r="E46" s="628">
        <v>52</v>
      </c>
      <c r="F46" s="1380">
        <v>886</v>
      </c>
      <c r="G46" s="718"/>
      <c r="H46" s="627">
        <v>261</v>
      </c>
      <c r="I46" s="1685">
        <v>2.89</v>
      </c>
      <c r="J46" s="27"/>
      <c r="K46" s="75" t="s">
        <v>153</v>
      </c>
      <c r="L46" s="105">
        <v>474599</v>
      </c>
      <c r="M46" s="1694">
        <v>99</v>
      </c>
      <c r="N46" s="525">
        <v>50637709</v>
      </c>
      <c r="O46" s="1695">
        <v>57.9</v>
      </c>
      <c r="P46" s="1694">
        <v>99</v>
      </c>
      <c r="Q46" s="27"/>
      <c r="R46" s="501">
        <v>479028</v>
      </c>
      <c r="S46" s="104">
        <v>99.9</v>
      </c>
      <c r="T46" s="607">
        <v>51342071</v>
      </c>
      <c r="U46" s="104">
        <v>94.38</v>
      </c>
      <c r="V46" s="1695">
        <v>107.17</v>
      </c>
      <c r="W46" s="1695">
        <v>100</v>
      </c>
      <c r="X46" s="1695">
        <v>50</v>
      </c>
      <c r="Y46" s="1695">
        <v>17.8</v>
      </c>
      <c r="Z46" s="1694">
        <v>53.4</v>
      </c>
      <c r="AA46" s="27"/>
      <c r="AB46" s="563">
        <v>4013</v>
      </c>
      <c r="AC46" s="634">
        <v>72.260000000000005</v>
      </c>
      <c r="AD46" s="843">
        <v>9832</v>
      </c>
      <c r="AE46" s="843">
        <v>2893</v>
      </c>
      <c r="AF46" s="564" t="s">
        <v>153</v>
      </c>
      <c r="AG46" s="843">
        <v>5574</v>
      </c>
      <c r="AH46" s="843">
        <v>341</v>
      </c>
      <c r="AI46" s="843">
        <v>1024</v>
      </c>
      <c r="AJ46" s="843">
        <v>61</v>
      </c>
      <c r="AK46" s="1577">
        <v>2053</v>
      </c>
    </row>
    <row r="47" spans="1:37" ht="15.75" customHeight="1">
      <c r="A47" s="858" t="s">
        <v>216</v>
      </c>
      <c r="B47" s="655">
        <v>10758</v>
      </c>
      <c r="C47" s="577">
        <v>3026</v>
      </c>
      <c r="D47" s="577">
        <v>134</v>
      </c>
      <c r="E47" s="577">
        <v>339</v>
      </c>
      <c r="F47" s="1442">
        <v>2553</v>
      </c>
      <c r="G47" s="718"/>
      <c r="H47" s="576">
        <v>950</v>
      </c>
      <c r="I47" s="1676">
        <v>8.99</v>
      </c>
      <c r="J47" s="27"/>
      <c r="K47" s="140">
        <v>7</v>
      </c>
      <c r="L47" s="141">
        <v>491228</v>
      </c>
      <c r="M47" s="1677">
        <v>93.2</v>
      </c>
      <c r="N47" s="929">
        <v>51692629</v>
      </c>
      <c r="O47" s="1678">
        <v>66.42</v>
      </c>
      <c r="P47" s="1677">
        <v>98.5</v>
      </c>
      <c r="Q47" s="27"/>
      <c r="R47" s="911">
        <v>525218</v>
      </c>
      <c r="S47" s="136">
        <v>99.6</v>
      </c>
      <c r="T47" s="225">
        <v>53952404</v>
      </c>
      <c r="U47" s="136">
        <v>91.1</v>
      </c>
      <c r="V47" s="1678">
        <v>102.6</v>
      </c>
      <c r="W47" s="1678">
        <v>11.6</v>
      </c>
      <c r="X47" s="1678">
        <v>53.4</v>
      </c>
      <c r="Y47" s="1678">
        <v>44.3</v>
      </c>
      <c r="Z47" s="1677">
        <v>33.200000000000003</v>
      </c>
      <c r="AA47" s="27"/>
      <c r="AB47" s="586">
        <v>4071</v>
      </c>
      <c r="AC47" s="648">
        <v>86.785065094571365</v>
      </c>
      <c r="AD47" s="647">
        <v>11379</v>
      </c>
      <c r="AE47" s="647">
        <v>5539</v>
      </c>
      <c r="AF47" s="647" t="s">
        <v>148</v>
      </c>
      <c r="AG47" s="647">
        <v>5480</v>
      </c>
      <c r="AH47" s="647">
        <v>360</v>
      </c>
      <c r="AI47" s="647" t="s">
        <v>148</v>
      </c>
      <c r="AJ47" s="647">
        <v>55</v>
      </c>
      <c r="AK47" s="1542">
        <v>1995</v>
      </c>
    </row>
    <row r="48" spans="1:37" ht="15.75" customHeight="1">
      <c r="A48" s="860" t="s">
        <v>218</v>
      </c>
      <c r="B48" s="863">
        <v>4316</v>
      </c>
      <c r="C48" s="689">
        <v>902</v>
      </c>
      <c r="D48" s="689">
        <v>12</v>
      </c>
      <c r="E48" s="689">
        <v>45</v>
      </c>
      <c r="F48" s="1558">
        <v>845</v>
      </c>
      <c r="G48" s="718"/>
      <c r="H48" s="690">
        <v>349</v>
      </c>
      <c r="I48" s="1693">
        <v>4.5</v>
      </c>
      <c r="J48" s="27"/>
      <c r="K48" s="103">
        <v>2</v>
      </c>
      <c r="L48" s="105">
        <v>454847</v>
      </c>
      <c r="M48" s="1705">
        <v>99.9</v>
      </c>
      <c r="N48" s="936">
        <v>54486938</v>
      </c>
      <c r="O48" s="1695">
        <v>76.66</v>
      </c>
      <c r="P48" s="1694">
        <v>99.9</v>
      </c>
      <c r="Q48" s="27"/>
      <c r="R48" s="501">
        <v>454887</v>
      </c>
      <c r="S48" s="104">
        <v>100</v>
      </c>
      <c r="T48" s="607">
        <v>48989376</v>
      </c>
      <c r="U48" s="104">
        <v>92.46</v>
      </c>
      <c r="V48" s="1695">
        <v>107.69570464752785</v>
      </c>
      <c r="W48" s="1695">
        <v>39.299999999999997</v>
      </c>
      <c r="X48" s="1695">
        <v>90.6</v>
      </c>
      <c r="Y48" s="1695">
        <v>27.1</v>
      </c>
      <c r="Z48" s="1694">
        <v>51.8</v>
      </c>
      <c r="AA48" s="27"/>
      <c r="AB48" s="1041">
        <v>3307</v>
      </c>
      <c r="AC48" s="1043">
        <v>67</v>
      </c>
      <c r="AD48" s="843">
        <v>16224</v>
      </c>
      <c r="AE48" s="843">
        <v>10314</v>
      </c>
      <c r="AF48" s="843" t="s">
        <v>153</v>
      </c>
      <c r="AG48" s="843">
        <v>3677</v>
      </c>
      <c r="AH48" s="843">
        <v>136</v>
      </c>
      <c r="AI48" s="843">
        <v>2097</v>
      </c>
      <c r="AJ48" s="843">
        <v>60</v>
      </c>
      <c r="AK48" s="1577">
        <v>2530</v>
      </c>
    </row>
    <row r="49" spans="1:37" ht="15.75" customHeight="1">
      <c r="A49" s="858" t="s">
        <v>275</v>
      </c>
      <c r="B49" s="655">
        <v>3264</v>
      </c>
      <c r="C49" s="577">
        <v>711</v>
      </c>
      <c r="D49" s="577">
        <v>27</v>
      </c>
      <c r="E49" s="577">
        <v>35</v>
      </c>
      <c r="F49" s="1442">
        <v>649</v>
      </c>
      <c r="G49" s="718"/>
      <c r="H49" s="576">
        <v>438</v>
      </c>
      <c r="I49" s="1676">
        <v>6.9</v>
      </c>
      <c r="J49" s="27"/>
      <c r="K49" s="140">
        <v>4</v>
      </c>
      <c r="L49" s="141">
        <v>304586</v>
      </c>
      <c r="M49" s="1677">
        <v>99.7</v>
      </c>
      <c r="N49" s="929">
        <v>31162162</v>
      </c>
      <c r="O49" s="1678">
        <v>83.2</v>
      </c>
      <c r="P49" s="1677">
        <v>99.885000000000005</v>
      </c>
      <c r="Q49" s="27"/>
      <c r="R49" s="911">
        <v>305112</v>
      </c>
      <c r="S49" s="136">
        <v>99.994</v>
      </c>
      <c r="T49" s="921">
        <v>30963888</v>
      </c>
      <c r="U49" s="136">
        <v>94.2</v>
      </c>
      <c r="V49" s="1678">
        <v>101.5</v>
      </c>
      <c r="W49" s="1678">
        <v>33.700000000000003</v>
      </c>
      <c r="X49" s="1678">
        <v>88.5</v>
      </c>
      <c r="Y49" s="1678">
        <v>13.26</v>
      </c>
      <c r="Z49" s="1677">
        <v>70.36</v>
      </c>
      <c r="AA49" s="27"/>
      <c r="AB49" s="553">
        <v>1996</v>
      </c>
      <c r="AC49" s="523">
        <v>93</v>
      </c>
      <c r="AD49" s="647">
        <v>9720</v>
      </c>
      <c r="AE49" s="647">
        <v>2087</v>
      </c>
      <c r="AF49" s="647" t="s">
        <v>153</v>
      </c>
      <c r="AG49" s="647">
        <v>4813</v>
      </c>
      <c r="AH49" s="647">
        <v>168</v>
      </c>
      <c r="AI49" s="647">
        <v>2652</v>
      </c>
      <c r="AJ49" s="647">
        <v>25</v>
      </c>
      <c r="AK49" s="1542">
        <v>1014</v>
      </c>
    </row>
    <row r="50" spans="1:37" ht="15.75" customHeight="1">
      <c r="A50" s="860" t="s">
        <v>220</v>
      </c>
      <c r="B50" s="633">
        <v>3821</v>
      </c>
      <c r="C50" s="628">
        <v>1114</v>
      </c>
      <c r="D50" s="628">
        <v>33</v>
      </c>
      <c r="E50" s="628">
        <v>67</v>
      </c>
      <c r="F50" s="1380">
        <v>1014</v>
      </c>
      <c r="G50" s="718"/>
      <c r="H50" s="627">
        <v>531</v>
      </c>
      <c r="I50" s="1685">
        <v>10.23</v>
      </c>
      <c r="J50" s="27"/>
      <c r="K50" s="103">
        <v>3</v>
      </c>
      <c r="L50" s="105">
        <v>483286</v>
      </c>
      <c r="M50" s="1694">
        <v>99.9</v>
      </c>
      <c r="N50" s="525">
        <v>52540170</v>
      </c>
      <c r="O50" s="1695">
        <v>74.8</v>
      </c>
      <c r="P50" s="1694">
        <v>99.9</v>
      </c>
      <c r="Q50" s="27"/>
      <c r="R50" s="501">
        <v>483446</v>
      </c>
      <c r="S50" s="104">
        <v>99.9</v>
      </c>
      <c r="T50" s="607">
        <v>50168228</v>
      </c>
      <c r="U50" s="104">
        <v>94.2</v>
      </c>
      <c r="V50" s="1695">
        <v>103.8</v>
      </c>
      <c r="W50" s="1695">
        <v>0</v>
      </c>
      <c r="X50" s="1695">
        <v>71.2</v>
      </c>
      <c r="Y50" s="1695">
        <v>26.4</v>
      </c>
      <c r="Z50" s="1694">
        <v>59.6</v>
      </c>
      <c r="AA50" s="27"/>
      <c r="AB50" s="1041">
        <v>3150</v>
      </c>
      <c r="AC50" s="1043">
        <v>77.239999999999995</v>
      </c>
      <c r="AD50" s="843">
        <v>23662</v>
      </c>
      <c r="AE50" s="843">
        <v>9157</v>
      </c>
      <c r="AF50" s="564" t="s">
        <v>153</v>
      </c>
      <c r="AG50" s="843">
        <v>3660</v>
      </c>
      <c r="AH50" s="843">
        <v>636</v>
      </c>
      <c r="AI50" s="843">
        <v>10209</v>
      </c>
      <c r="AJ50" s="843">
        <v>33</v>
      </c>
      <c r="AK50" s="1577">
        <v>1983</v>
      </c>
    </row>
    <row r="51" spans="1:37" ht="15.75" customHeight="1">
      <c r="A51" s="858" t="s">
        <v>221</v>
      </c>
      <c r="B51" s="640">
        <v>5613</v>
      </c>
      <c r="C51" s="555">
        <v>1901</v>
      </c>
      <c r="D51" s="555">
        <v>92</v>
      </c>
      <c r="E51" s="555">
        <v>212</v>
      </c>
      <c r="F51" s="1431">
        <v>1638</v>
      </c>
      <c r="G51" s="718"/>
      <c r="H51" s="554">
        <v>584</v>
      </c>
      <c r="I51" s="1682">
        <v>28.3</v>
      </c>
      <c r="J51" s="27"/>
      <c r="K51" s="238">
        <v>4</v>
      </c>
      <c r="L51" s="241">
        <v>321188</v>
      </c>
      <c r="M51" s="1683">
        <v>91.7</v>
      </c>
      <c r="N51" s="937">
        <v>35564484</v>
      </c>
      <c r="O51" s="1684">
        <v>93.1</v>
      </c>
      <c r="P51" s="1683">
        <v>97.3</v>
      </c>
      <c r="Q51" s="27"/>
      <c r="R51" s="912">
        <v>343690</v>
      </c>
      <c r="S51" s="242">
        <v>99.9</v>
      </c>
      <c r="T51" s="922">
        <v>37427894</v>
      </c>
      <c r="U51" s="242">
        <v>89</v>
      </c>
      <c r="V51" s="1684">
        <v>108.9</v>
      </c>
      <c r="W51" s="1684">
        <v>46.1</v>
      </c>
      <c r="X51" s="1684">
        <v>76.3</v>
      </c>
      <c r="Y51" s="1684">
        <v>20.5</v>
      </c>
      <c r="Z51" s="1683">
        <v>35.9</v>
      </c>
      <c r="AA51" s="27"/>
      <c r="AB51" s="553">
        <v>1731</v>
      </c>
      <c r="AC51" s="523">
        <v>92.731946851530907</v>
      </c>
      <c r="AD51" s="522">
        <v>15103</v>
      </c>
      <c r="AE51" s="522">
        <v>2347</v>
      </c>
      <c r="AF51" s="522" t="s">
        <v>153</v>
      </c>
      <c r="AG51" s="522">
        <v>2581</v>
      </c>
      <c r="AH51" s="522" t="s">
        <v>153</v>
      </c>
      <c r="AI51" s="522">
        <v>10175</v>
      </c>
      <c r="AJ51" s="522">
        <v>30</v>
      </c>
      <c r="AK51" s="1459">
        <v>1198</v>
      </c>
    </row>
    <row r="52" spans="1:37" ht="15.75" customHeight="1">
      <c r="A52" s="860" t="s">
        <v>223</v>
      </c>
      <c r="B52" s="633">
        <v>5490</v>
      </c>
      <c r="C52" s="633">
        <f>SUM(D52:F52)</f>
        <v>1414.0329999999999</v>
      </c>
      <c r="D52" s="628">
        <v>33.723999999999997</v>
      </c>
      <c r="E52" s="628">
        <v>199.309</v>
      </c>
      <c r="F52" s="1572">
        <v>1181</v>
      </c>
      <c r="G52" s="718"/>
      <c r="H52" s="627">
        <v>137</v>
      </c>
      <c r="I52" s="1685">
        <v>8.4600000000000009</v>
      </c>
      <c r="J52" s="27"/>
      <c r="K52" s="75">
        <v>3</v>
      </c>
      <c r="L52" s="76">
        <v>137126</v>
      </c>
      <c r="M52" s="1686">
        <v>38.299999999999997</v>
      </c>
      <c r="N52" s="528">
        <v>15381161</v>
      </c>
      <c r="O52" s="1687">
        <v>70.2</v>
      </c>
      <c r="P52" s="1686">
        <v>68.3</v>
      </c>
      <c r="Q52" s="27"/>
      <c r="R52" s="507">
        <v>343995</v>
      </c>
      <c r="S52" s="74">
        <v>98.5</v>
      </c>
      <c r="T52" s="672">
        <v>39506185</v>
      </c>
      <c r="U52" s="74">
        <v>83.3</v>
      </c>
      <c r="V52" s="1687">
        <v>114.8</v>
      </c>
      <c r="W52" s="1687">
        <v>0.02</v>
      </c>
      <c r="X52" s="1687">
        <v>33.1</v>
      </c>
      <c r="Y52" s="1687">
        <v>41.5</v>
      </c>
      <c r="Z52" s="1686">
        <v>40.700000000000003</v>
      </c>
      <c r="AA52" s="27"/>
      <c r="AB52" s="563">
        <v>2343</v>
      </c>
      <c r="AC52" s="634">
        <v>90.76</v>
      </c>
      <c r="AD52" s="564">
        <f>SUM(AE52:AI52)</f>
        <v>10135</v>
      </c>
      <c r="AE52" s="564">
        <v>6104</v>
      </c>
      <c r="AF52" s="564" t="s">
        <v>153</v>
      </c>
      <c r="AG52" s="564">
        <v>2869</v>
      </c>
      <c r="AH52" s="564" t="s">
        <v>153</v>
      </c>
      <c r="AI52" s="564">
        <v>1162</v>
      </c>
      <c r="AJ52" s="564">
        <v>74</v>
      </c>
      <c r="AK52" s="1451">
        <v>1971</v>
      </c>
    </row>
    <row r="53" spans="1:37" ht="15.75" customHeight="1">
      <c r="A53" s="858" t="s">
        <v>276</v>
      </c>
      <c r="B53" s="640">
        <v>5158</v>
      </c>
      <c r="C53" s="555">
        <v>2423</v>
      </c>
      <c r="D53" s="555">
        <v>187</v>
      </c>
      <c r="E53" s="555">
        <v>499</v>
      </c>
      <c r="F53" s="1431">
        <v>1737</v>
      </c>
      <c r="G53" s="718"/>
      <c r="H53" s="554">
        <v>146</v>
      </c>
      <c r="I53" s="1682">
        <v>13.3</v>
      </c>
      <c r="J53" s="27"/>
      <c r="K53" s="238">
        <v>9</v>
      </c>
      <c r="L53" s="241">
        <v>147204</v>
      </c>
      <c r="M53" s="1683">
        <v>80.8</v>
      </c>
      <c r="N53" s="930">
        <v>19017858</v>
      </c>
      <c r="O53" s="1684">
        <v>86</v>
      </c>
      <c r="P53" s="1683">
        <v>98.1</v>
      </c>
      <c r="Q53" s="27"/>
      <c r="R53" s="912">
        <v>180586</v>
      </c>
      <c r="S53" s="242">
        <v>99.4</v>
      </c>
      <c r="T53" s="923">
        <v>19973294</v>
      </c>
      <c r="U53" s="242">
        <v>90.5</v>
      </c>
      <c r="V53" s="1684">
        <v>110.6</v>
      </c>
      <c r="W53" s="1684">
        <v>90.5</v>
      </c>
      <c r="X53" s="1684">
        <v>74.3</v>
      </c>
      <c r="Y53" s="1684">
        <v>31.6</v>
      </c>
      <c r="Z53" s="1683">
        <v>44</v>
      </c>
      <c r="AA53" s="27"/>
      <c r="AB53" s="553">
        <v>828</v>
      </c>
      <c r="AC53" s="523">
        <v>93.3</v>
      </c>
      <c r="AD53" s="522">
        <v>3833</v>
      </c>
      <c r="AE53" s="522">
        <v>2137</v>
      </c>
      <c r="AF53" s="522" t="s">
        <v>153</v>
      </c>
      <c r="AG53" s="522">
        <v>1648</v>
      </c>
      <c r="AH53" s="522">
        <v>48</v>
      </c>
      <c r="AI53" s="522" t="s">
        <v>153</v>
      </c>
      <c r="AJ53" s="522">
        <v>20</v>
      </c>
      <c r="AK53" s="1459">
        <v>517</v>
      </c>
    </row>
    <row r="54" spans="1:37" ht="15.75" customHeight="1">
      <c r="A54" s="860" t="s">
        <v>277</v>
      </c>
      <c r="B54" s="863">
        <v>7057</v>
      </c>
      <c r="C54" s="628">
        <v>2378</v>
      </c>
      <c r="D54" s="689">
        <v>115</v>
      </c>
      <c r="E54" s="689">
        <v>255</v>
      </c>
      <c r="F54" s="1380">
        <v>2008</v>
      </c>
      <c r="G54" s="718"/>
      <c r="H54" s="690">
        <v>157</v>
      </c>
      <c r="I54" s="1693">
        <v>13</v>
      </c>
      <c r="J54" s="27"/>
      <c r="K54" s="103">
        <v>8</v>
      </c>
      <c r="L54" s="105">
        <v>167988</v>
      </c>
      <c r="M54" s="1694">
        <v>85.4</v>
      </c>
      <c r="N54" s="936">
        <v>19651344</v>
      </c>
      <c r="O54" s="1695">
        <v>93.4</v>
      </c>
      <c r="P54" s="1694">
        <v>98</v>
      </c>
      <c r="Q54" s="27"/>
      <c r="R54" s="501">
        <v>185933</v>
      </c>
      <c r="S54" s="104">
        <v>98.8</v>
      </c>
      <c r="T54" s="607">
        <v>19764615</v>
      </c>
      <c r="U54" s="104">
        <v>93.1</v>
      </c>
      <c r="V54" s="1695">
        <v>106.3</v>
      </c>
      <c r="W54" s="1695">
        <v>20.100000000000001</v>
      </c>
      <c r="X54" s="1695">
        <v>91</v>
      </c>
      <c r="Y54" s="1695">
        <v>40.4</v>
      </c>
      <c r="Z54" s="1694">
        <v>62.7</v>
      </c>
      <c r="AA54" s="27"/>
      <c r="AB54" s="1041">
        <v>1588</v>
      </c>
      <c r="AC54" s="1043">
        <v>78.8</v>
      </c>
      <c r="AD54" s="843">
        <v>4411</v>
      </c>
      <c r="AE54" s="843">
        <v>2328</v>
      </c>
      <c r="AF54" s="843" t="s">
        <v>153</v>
      </c>
      <c r="AG54" s="843">
        <v>1959</v>
      </c>
      <c r="AH54" s="843">
        <v>124</v>
      </c>
      <c r="AI54" s="843" t="s">
        <v>153</v>
      </c>
      <c r="AJ54" s="843">
        <v>33</v>
      </c>
      <c r="AK54" s="1577">
        <v>1443</v>
      </c>
    </row>
    <row r="55" spans="1:37" ht="15.75" customHeight="1">
      <c r="A55" s="858" t="s">
        <v>226</v>
      </c>
      <c r="B55" s="655">
        <v>22343</v>
      </c>
      <c r="C55" s="577">
        <v>4332</v>
      </c>
      <c r="D55" s="577">
        <v>19</v>
      </c>
      <c r="E55" s="577">
        <v>273</v>
      </c>
      <c r="F55" s="1442">
        <v>4040</v>
      </c>
      <c r="G55" s="718"/>
      <c r="H55" s="576">
        <v>866</v>
      </c>
      <c r="I55" s="1676">
        <v>8.1999999999999993</v>
      </c>
      <c r="J55" s="27"/>
      <c r="K55" s="140">
        <v>4</v>
      </c>
      <c r="L55" s="141">
        <v>390756</v>
      </c>
      <c r="M55" s="1677">
        <v>82</v>
      </c>
      <c r="N55" s="929">
        <v>37597141</v>
      </c>
      <c r="O55" s="1678">
        <v>96.4</v>
      </c>
      <c r="P55" s="1677">
        <v>93.4</v>
      </c>
      <c r="Q55" s="27"/>
      <c r="R55" s="911">
        <v>476414</v>
      </c>
      <c r="S55" s="136">
        <v>99.9</v>
      </c>
      <c r="T55" s="921">
        <v>55003144</v>
      </c>
      <c r="U55" s="136">
        <v>93.4</v>
      </c>
      <c r="V55" s="1678">
        <v>115.5</v>
      </c>
      <c r="W55" s="1678">
        <v>27.2</v>
      </c>
      <c r="X55" s="1678">
        <v>60.7</v>
      </c>
      <c r="Y55" s="1678">
        <v>23.6</v>
      </c>
      <c r="Z55" s="1677">
        <v>42.3</v>
      </c>
      <c r="AA55" s="27"/>
      <c r="AB55" s="586">
        <v>3490</v>
      </c>
      <c r="AC55" s="648">
        <v>86.4</v>
      </c>
      <c r="AD55" s="647">
        <v>6110</v>
      </c>
      <c r="AE55" s="647">
        <v>4423</v>
      </c>
      <c r="AF55" s="647" t="s">
        <v>153</v>
      </c>
      <c r="AG55" s="647">
        <v>1687</v>
      </c>
      <c r="AH55" s="647" t="s">
        <v>153</v>
      </c>
      <c r="AI55" s="647" t="s">
        <v>153</v>
      </c>
      <c r="AJ55" s="647">
        <v>27</v>
      </c>
      <c r="AK55" s="1542">
        <v>758</v>
      </c>
    </row>
    <row r="56" spans="1:37" ht="15.75" customHeight="1">
      <c r="A56" s="860" t="s">
        <v>278</v>
      </c>
      <c r="B56" s="633">
        <v>5516</v>
      </c>
      <c r="C56" s="628">
        <v>1843</v>
      </c>
      <c r="D56" s="628">
        <v>93</v>
      </c>
      <c r="E56" s="628">
        <v>233</v>
      </c>
      <c r="F56" s="1380">
        <v>1517</v>
      </c>
      <c r="G56" s="718"/>
      <c r="H56" s="690">
        <v>342</v>
      </c>
      <c r="I56" s="1693">
        <v>10.050000000000001</v>
      </c>
      <c r="J56" s="27"/>
      <c r="K56" s="103">
        <v>9</v>
      </c>
      <c r="L56" s="105">
        <v>184448</v>
      </c>
      <c r="M56" s="1694">
        <v>88.6</v>
      </c>
      <c r="N56" s="936">
        <v>18317270</v>
      </c>
      <c r="O56" s="1695">
        <v>87.9</v>
      </c>
      <c r="P56" s="1694">
        <v>92.2</v>
      </c>
      <c r="Q56" s="27"/>
      <c r="R56" s="501">
        <v>206536</v>
      </c>
      <c r="S56" s="104">
        <v>99.3</v>
      </c>
      <c r="T56" s="607">
        <v>20280509</v>
      </c>
      <c r="U56" s="104">
        <v>90.2</v>
      </c>
      <c r="V56" s="1695">
        <v>98.19</v>
      </c>
      <c r="W56" s="1695">
        <v>100</v>
      </c>
      <c r="X56" s="1695">
        <v>39</v>
      </c>
      <c r="Y56" s="1695">
        <v>12.8</v>
      </c>
      <c r="Z56" s="1694">
        <v>18.899999999999999</v>
      </c>
      <c r="AA56" s="27"/>
      <c r="AB56" s="1041">
        <v>992</v>
      </c>
      <c r="AC56" s="1043">
        <v>98.34</v>
      </c>
      <c r="AD56" s="564">
        <v>4573</v>
      </c>
      <c r="AE56" s="843">
        <v>3609</v>
      </c>
      <c r="AF56" s="843" t="s">
        <v>153</v>
      </c>
      <c r="AG56" s="843">
        <v>964</v>
      </c>
      <c r="AH56" s="843" t="s">
        <v>153</v>
      </c>
      <c r="AI56" s="843" t="s">
        <v>153</v>
      </c>
      <c r="AJ56" s="843">
        <v>17</v>
      </c>
      <c r="AK56" s="1577">
        <v>606</v>
      </c>
    </row>
    <row r="57" spans="1:37" ht="15.75" customHeight="1">
      <c r="A57" s="858" t="s">
        <v>228</v>
      </c>
      <c r="B57" s="655">
        <v>10076</v>
      </c>
      <c r="C57" s="577">
        <v>3979</v>
      </c>
      <c r="D57" s="577">
        <v>76</v>
      </c>
      <c r="E57" s="577">
        <v>358</v>
      </c>
      <c r="F57" s="1442">
        <v>3545</v>
      </c>
      <c r="G57" s="718"/>
      <c r="H57" s="576">
        <v>714</v>
      </c>
      <c r="I57" s="1676">
        <v>6.8</v>
      </c>
      <c r="J57" s="27"/>
      <c r="K57" s="140">
        <v>1</v>
      </c>
      <c r="L57" s="141">
        <v>350209</v>
      </c>
      <c r="M57" s="1677">
        <v>76.3</v>
      </c>
      <c r="N57" s="929">
        <v>35321734</v>
      </c>
      <c r="O57" s="1678">
        <v>94</v>
      </c>
      <c r="P57" s="1677">
        <v>87.1</v>
      </c>
      <c r="Q57" s="27"/>
      <c r="R57" s="911">
        <v>440225</v>
      </c>
      <c r="S57" s="136">
        <v>95.9</v>
      </c>
      <c r="T57" s="921">
        <v>46539730</v>
      </c>
      <c r="U57" s="136">
        <v>94.9</v>
      </c>
      <c r="V57" s="1678">
        <v>105.7</v>
      </c>
      <c r="W57" s="1678">
        <v>44.4</v>
      </c>
      <c r="X57" s="1678">
        <v>65.8</v>
      </c>
      <c r="Y57" s="1678">
        <v>28.6</v>
      </c>
      <c r="Z57" s="1677">
        <v>76.900000000000006</v>
      </c>
      <c r="AA57" s="27"/>
      <c r="AB57" s="586">
        <v>3033</v>
      </c>
      <c r="AC57" s="648">
        <v>89.597999999999999</v>
      </c>
      <c r="AD57" s="647">
        <f>SUM(AE57:AI57)</f>
        <v>5001</v>
      </c>
      <c r="AE57" s="647">
        <v>2939</v>
      </c>
      <c r="AF57" s="522" t="s">
        <v>153</v>
      </c>
      <c r="AG57" s="647">
        <v>2062</v>
      </c>
      <c r="AH57" s="522" t="s">
        <v>153</v>
      </c>
      <c r="AI57" s="522" t="s">
        <v>153</v>
      </c>
      <c r="AJ57" s="647">
        <v>68</v>
      </c>
      <c r="AK57" s="1542">
        <v>1864</v>
      </c>
    </row>
    <row r="58" spans="1:37" ht="15.75" customHeight="1">
      <c r="A58" s="860" t="s">
        <v>229</v>
      </c>
      <c r="B58" s="870">
        <v>7266</v>
      </c>
      <c r="C58" s="601">
        <v>2592</v>
      </c>
      <c r="D58" s="601">
        <v>152.1</v>
      </c>
      <c r="E58" s="601">
        <v>312.56799999999998</v>
      </c>
      <c r="F58" s="1424">
        <v>2127.3000000000002</v>
      </c>
      <c r="G58" s="862"/>
      <c r="H58" s="515">
        <v>407</v>
      </c>
      <c r="I58" s="1709">
        <v>14.6</v>
      </c>
      <c r="J58" s="712"/>
      <c r="K58" s="507">
        <v>7</v>
      </c>
      <c r="L58" s="565">
        <v>198712</v>
      </c>
      <c r="M58" s="1710">
        <v>79.8</v>
      </c>
      <c r="N58" s="671">
        <v>19933796</v>
      </c>
      <c r="O58" s="1711">
        <v>90.8</v>
      </c>
      <c r="P58" s="1710">
        <v>88.1</v>
      </c>
      <c r="Q58" s="712"/>
      <c r="R58" s="507">
        <v>242492</v>
      </c>
      <c r="S58" s="566">
        <v>97.4</v>
      </c>
      <c r="T58" s="226">
        <v>26515561</v>
      </c>
      <c r="U58" s="566">
        <v>87.9</v>
      </c>
      <c r="V58" s="1711">
        <f>T58/R58</f>
        <v>109.34612688253632</v>
      </c>
      <c r="W58" s="1711">
        <v>1.6</v>
      </c>
      <c r="X58" s="1711">
        <v>58.8</v>
      </c>
      <c r="Y58" s="1711">
        <v>8.5</v>
      </c>
      <c r="Z58" s="1710">
        <v>42.9</v>
      </c>
      <c r="AA58" s="712"/>
      <c r="AB58" s="1077">
        <v>1250</v>
      </c>
      <c r="AC58" s="510">
        <v>93.6</v>
      </c>
      <c r="AD58" s="509">
        <f>+AE58+AG58+AI58</f>
        <v>11169</v>
      </c>
      <c r="AE58" s="509">
        <v>6957</v>
      </c>
      <c r="AF58" s="509" t="s">
        <v>148</v>
      </c>
      <c r="AG58" s="509">
        <v>3317</v>
      </c>
      <c r="AH58" s="509" t="s">
        <v>148</v>
      </c>
      <c r="AI58" s="509">
        <v>895</v>
      </c>
      <c r="AJ58" s="509">
        <v>19</v>
      </c>
      <c r="AK58" s="1507">
        <v>621</v>
      </c>
    </row>
    <row r="59" spans="1:37" ht="15.75" customHeight="1">
      <c r="A59" s="858" t="s">
        <v>230</v>
      </c>
      <c r="B59" s="655">
        <v>7650</v>
      </c>
      <c r="C59" s="577">
        <v>2839</v>
      </c>
      <c r="D59" s="577">
        <v>42</v>
      </c>
      <c r="E59" s="577">
        <v>406</v>
      </c>
      <c r="F59" s="1442">
        <v>2391</v>
      </c>
      <c r="G59" s="718"/>
      <c r="H59" s="576">
        <v>306</v>
      </c>
      <c r="I59" s="1676">
        <v>9.41</v>
      </c>
      <c r="J59" s="27"/>
      <c r="K59" s="140">
        <v>4</v>
      </c>
      <c r="L59" s="141">
        <v>269857</v>
      </c>
      <c r="M59" s="1677">
        <v>64.3</v>
      </c>
      <c r="N59" s="929">
        <v>26633497</v>
      </c>
      <c r="O59" s="1678">
        <v>77.900000000000006</v>
      </c>
      <c r="P59" s="1677">
        <v>89.3</v>
      </c>
      <c r="Q59" s="27"/>
      <c r="R59" s="911">
        <v>408532</v>
      </c>
      <c r="S59" s="136">
        <v>99.4</v>
      </c>
      <c r="T59" s="921">
        <v>44877456</v>
      </c>
      <c r="U59" s="136">
        <v>92.6</v>
      </c>
      <c r="V59" s="1678">
        <v>109.9</v>
      </c>
      <c r="W59" s="1678">
        <v>22.5</v>
      </c>
      <c r="X59" s="1678">
        <v>36.5</v>
      </c>
      <c r="Y59" s="1678">
        <v>15.4</v>
      </c>
      <c r="Z59" s="1677">
        <v>42</v>
      </c>
      <c r="AA59" s="27"/>
      <c r="AB59" s="586">
        <v>2816</v>
      </c>
      <c r="AC59" s="648">
        <v>88.1</v>
      </c>
      <c r="AD59" s="522">
        <v>8336</v>
      </c>
      <c r="AE59" s="647">
        <v>3997</v>
      </c>
      <c r="AF59" s="522" t="s">
        <v>153</v>
      </c>
      <c r="AG59" s="647">
        <v>4339</v>
      </c>
      <c r="AH59" s="522" t="s">
        <v>153</v>
      </c>
      <c r="AI59" s="522" t="s">
        <v>153</v>
      </c>
      <c r="AJ59" s="647">
        <v>49</v>
      </c>
      <c r="AK59" s="1542">
        <v>1590</v>
      </c>
    </row>
    <row r="60" spans="1:37" ht="15.75" customHeight="1">
      <c r="A60" s="860" t="s">
        <v>231</v>
      </c>
      <c r="B60" s="633">
        <v>6879</v>
      </c>
      <c r="C60" s="628">
        <v>2271</v>
      </c>
      <c r="D60" s="628">
        <v>87</v>
      </c>
      <c r="E60" s="628">
        <v>295</v>
      </c>
      <c r="F60" s="1380">
        <v>1889</v>
      </c>
      <c r="G60" s="718"/>
      <c r="H60" s="627">
        <v>345</v>
      </c>
      <c r="I60" s="1685">
        <v>7.7</v>
      </c>
      <c r="J60" s="27"/>
      <c r="K60" s="75">
        <v>4</v>
      </c>
      <c r="L60" s="76">
        <v>330187</v>
      </c>
      <c r="M60" s="1686">
        <v>65.8</v>
      </c>
      <c r="N60" s="671">
        <v>33779955</v>
      </c>
      <c r="O60" s="1687">
        <v>83.5</v>
      </c>
      <c r="P60" s="1686">
        <v>90.4</v>
      </c>
      <c r="Q60" s="27"/>
      <c r="R60" s="507">
        <v>475196</v>
      </c>
      <c r="S60" s="74">
        <v>96.9</v>
      </c>
      <c r="T60" s="927">
        <v>46905900</v>
      </c>
      <c r="U60" s="74">
        <v>95.9</v>
      </c>
      <c r="V60" s="1687">
        <v>98.7</v>
      </c>
      <c r="W60" s="1687">
        <v>90.2</v>
      </c>
      <c r="X60" s="1687">
        <v>94.7</v>
      </c>
      <c r="Y60" s="1687">
        <v>27.1</v>
      </c>
      <c r="Z60" s="1686">
        <v>41.5</v>
      </c>
      <c r="AA60" s="27"/>
      <c r="AB60" s="563">
        <v>3443</v>
      </c>
      <c r="AC60" s="634">
        <v>79.489999999999995</v>
      </c>
      <c r="AD60" s="564">
        <v>6877</v>
      </c>
      <c r="AE60" s="564">
        <v>4418</v>
      </c>
      <c r="AF60" s="564" t="s">
        <v>153</v>
      </c>
      <c r="AG60" s="564">
        <v>2459</v>
      </c>
      <c r="AH60" s="564" t="s">
        <v>153</v>
      </c>
      <c r="AI60" s="564" t="s">
        <v>153</v>
      </c>
      <c r="AJ60" s="564">
        <v>91</v>
      </c>
      <c r="AK60" s="1451">
        <v>2665</v>
      </c>
    </row>
    <row r="61" spans="1:37" ht="15.75" customHeight="1">
      <c r="A61" s="858" t="s">
        <v>232</v>
      </c>
      <c r="B61" s="640">
        <v>9440</v>
      </c>
      <c r="C61" s="555">
        <v>2308</v>
      </c>
      <c r="D61" s="555">
        <v>56</v>
      </c>
      <c r="E61" s="555">
        <v>269</v>
      </c>
      <c r="F61" s="1431">
        <v>1983</v>
      </c>
      <c r="G61" s="718"/>
      <c r="H61" s="554">
        <v>732</v>
      </c>
      <c r="I61" s="1682">
        <v>8.9600000000000009</v>
      </c>
      <c r="J61" s="27"/>
      <c r="K61" s="238">
        <v>3</v>
      </c>
      <c r="L61" s="241">
        <v>209250</v>
      </c>
      <c r="M61" s="1683">
        <v>65.900000000000006</v>
      </c>
      <c r="N61" s="930">
        <v>21528870</v>
      </c>
      <c r="O61" s="1684">
        <v>60.7</v>
      </c>
      <c r="P61" s="1683">
        <v>80.900000000000006</v>
      </c>
      <c r="Q61" s="27"/>
      <c r="R61" s="912">
        <v>303323</v>
      </c>
      <c r="S61" s="242">
        <v>96.5</v>
      </c>
      <c r="T61" s="923">
        <v>34632087</v>
      </c>
      <c r="U61" s="242">
        <v>93.7</v>
      </c>
      <c r="V61" s="1684">
        <v>114.2</v>
      </c>
      <c r="W61" s="1684">
        <v>93.8</v>
      </c>
      <c r="X61" s="1684">
        <v>95</v>
      </c>
      <c r="Y61" s="1684">
        <v>21.5</v>
      </c>
      <c r="Z61" s="1683">
        <v>48.2</v>
      </c>
      <c r="AA61" s="27"/>
      <c r="AB61" s="553">
        <v>1236</v>
      </c>
      <c r="AC61" s="523">
        <v>89.7</v>
      </c>
      <c r="AD61" s="522">
        <v>7211</v>
      </c>
      <c r="AE61" s="522">
        <v>5033</v>
      </c>
      <c r="AF61" s="522" t="s">
        <v>153</v>
      </c>
      <c r="AG61" s="522">
        <v>2178</v>
      </c>
      <c r="AH61" s="522" t="s">
        <v>153</v>
      </c>
      <c r="AI61" s="522" t="s">
        <v>153</v>
      </c>
      <c r="AJ61" s="522">
        <v>23</v>
      </c>
      <c r="AK61" s="1459">
        <v>823</v>
      </c>
    </row>
    <row r="62" spans="1:37" ht="15.75" customHeight="1">
      <c r="A62" s="860" t="s">
        <v>234</v>
      </c>
      <c r="B62" s="863">
        <v>9188</v>
      </c>
      <c r="C62" s="689">
        <v>2779</v>
      </c>
      <c r="D62" s="628">
        <v>55</v>
      </c>
      <c r="E62" s="628">
        <v>271</v>
      </c>
      <c r="F62" s="1558">
        <v>2453</v>
      </c>
      <c r="G62" s="718"/>
      <c r="H62" s="690">
        <v>458</v>
      </c>
      <c r="I62" s="1693">
        <v>7.9</v>
      </c>
      <c r="J62" s="27"/>
      <c r="K62" s="103">
        <v>3</v>
      </c>
      <c r="L62" s="105">
        <v>264225</v>
      </c>
      <c r="M62" s="1694">
        <v>87.6</v>
      </c>
      <c r="N62" s="936">
        <v>23944630</v>
      </c>
      <c r="O62" s="1695">
        <v>88.7</v>
      </c>
      <c r="P62" s="1694">
        <v>96.8</v>
      </c>
      <c r="Q62" s="27"/>
      <c r="R62" s="501">
        <v>274281</v>
      </c>
      <c r="S62" s="104">
        <v>96.5</v>
      </c>
      <c r="T62" s="227">
        <v>24591669</v>
      </c>
      <c r="U62" s="104">
        <v>90.3</v>
      </c>
      <c r="V62" s="1695">
        <v>89.7</v>
      </c>
      <c r="W62" s="1695">
        <v>61.2</v>
      </c>
      <c r="X62" s="1695">
        <v>70</v>
      </c>
      <c r="Y62" s="1695">
        <v>26.7</v>
      </c>
      <c r="Z62" s="1694">
        <v>52.6</v>
      </c>
      <c r="AA62" s="27"/>
      <c r="AB62" s="1041">
        <v>2376</v>
      </c>
      <c r="AC62" s="1043">
        <v>77.8</v>
      </c>
      <c r="AD62" s="843">
        <v>7889</v>
      </c>
      <c r="AE62" s="843">
        <v>4229</v>
      </c>
      <c r="AF62" s="843" t="s">
        <v>153</v>
      </c>
      <c r="AG62" s="843">
        <v>2964</v>
      </c>
      <c r="AH62" s="843">
        <v>696</v>
      </c>
      <c r="AI62" s="843" t="s">
        <v>153</v>
      </c>
      <c r="AJ62" s="843">
        <v>17</v>
      </c>
      <c r="AK62" s="1577">
        <v>763</v>
      </c>
    </row>
    <row r="63" spans="1:37" ht="15.75" customHeight="1">
      <c r="A63" s="858" t="s">
        <v>236</v>
      </c>
      <c r="B63" s="809">
        <v>6415</v>
      </c>
      <c r="C63" s="555">
        <v>2221</v>
      </c>
      <c r="D63" s="555">
        <v>130</v>
      </c>
      <c r="E63" s="555">
        <v>204</v>
      </c>
      <c r="F63" s="641">
        <v>1887</v>
      </c>
      <c r="G63" s="718"/>
      <c r="H63" s="556">
        <v>516</v>
      </c>
      <c r="I63" s="1682">
        <v>10.9</v>
      </c>
      <c r="J63" s="27"/>
      <c r="K63" s="234">
        <v>11</v>
      </c>
      <c r="L63" s="241">
        <v>376668</v>
      </c>
      <c r="M63" s="1683">
        <v>94.5</v>
      </c>
      <c r="N63" s="930">
        <v>36179106</v>
      </c>
      <c r="O63" s="1684">
        <v>82.8</v>
      </c>
      <c r="P63" s="1683">
        <v>97.9</v>
      </c>
      <c r="Q63" s="27"/>
      <c r="R63" s="919">
        <v>387086</v>
      </c>
      <c r="S63" s="242">
        <v>97.85</v>
      </c>
      <c r="T63" s="244">
        <v>36808782</v>
      </c>
      <c r="U63" s="242">
        <v>88.28</v>
      </c>
      <c r="V63" s="376">
        <v>95.09</v>
      </c>
      <c r="W63" s="1684">
        <v>19.73</v>
      </c>
      <c r="X63" s="1684">
        <v>42.31</v>
      </c>
      <c r="Y63" s="1684">
        <v>20.399999999999999</v>
      </c>
      <c r="Z63" s="1683">
        <v>63.1</v>
      </c>
      <c r="AA63" s="27"/>
      <c r="AB63" s="1269">
        <v>2181</v>
      </c>
      <c r="AC63" s="523">
        <v>68.010000000000005</v>
      </c>
      <c r="AD63" s="522">
        <f>SUM(AE63:AI63)</f>
        <v>16042</v>
      </c>
      <c r="AE63" s="522">
        <v>9103</v>
      </c>
      <c r="AF63" s="522" t="s">
        <v>153</v>
      </c>
      <c r="AG63" s="522">
        <v>6576</v>
      </c>
      <c r="AH63" s="522">
        <v>363</v>
      </c>
      <c r="AI63" s="522" t="s">
        <v>153</v>
      </c>
      <c r="AJ63" s="522">
        <v>26</v>
      </c>
      <c r="AK63" s="1459">
        <v>999</v>
      </c>
    </row>
    <row r="64" spans="1:37" ht="15.75" customHeight="1">
      <c r="A64" s="860" t="s">
        <v>279</v>
      </c>
      <c r="B64" s="542">
        <v>4107</v>
      </c>
      <c r="C64" s="628">
        <v>2096</v>
      </c>
      <c r="D64" s="628">
        <v>110</v>
      </c>
      <c r="E64" s="628">
        <v>196</v>
      </c>
      <c r="F64" s="1380">
        <v>1790</v>
      </c>
      <c r="G64" s="718"/>
      <c r="H64" s="544">
        <v>426</v>
      </c>
      <c r="I64" s="1685">
        <v>17.38</v>
      </c>
      <c r="J64" s="27"/>
      <c r="K64" s="110">
        <v>4</v>
      </c>
      <c r="L64" s="105">
        <v>144093</v>
      </c>
      <c r="M64" s="1694">
        <v>60.6</v>
      </c>
      <c r="N64" s="525">
        <v>14013355</v>
      </c>
      <c r="O64" s="104">
        <v>96.5</v>
      </c>
      <c r="P64" s="1694">
        <v>79.5</v>
      </c>
      <c r="Q64" s="35"/>
      <c r="R64" s="501">
        <v>233828</v>
      </c>
      <c r="S64" s="104">
        <v>98.4</v>
      </c>
      <c r="T64" s="106">
        <v>24020158</v>
      </c>
      <c r="U64" s="104">
        <v>88.7</v>
      </c>
      <c r="V64" s="45">
        <v>102.7</v>
      </c>
      <c r="W64" s="1695">
        <v>45.9</v>
      </c>
      <c r="X64" s="1695">
        <v>14.7</v>
      </c>
      <c r="Y64" s="1695">
        <v>8.8000000000000007</v>
      </c>
      <c r="Z64" s="1694">
        <v>24.9</v>
      </c>
      <c r="AA64" s="27"/>
      <c r="AB64" s="1366">
        <v>1136</v>
      </c>
      <c r="AC64" s="1043">
        <v>92.2</v>
      </c>
      <c r="AD64" s="564">
        <v>9122</v>
      </c>
      <c r="AE64" s="843">
        <v>5352</v>
      </c>
      <c r="AF64" s="564" t="s">
        <v>153</v>
      </c>
      <c r="AG64" s="843">
        <v>3490</v>
      </c>
      <c r="AH64" s="843">
        <v>280</v>
      </c>
      <c r="AI64" s="564" t="s">
        <v>153</v>
      </c>
      <c r="AJ64" s="843">
        <v>34</v>
      </c>
      <c r="AK64" s="1577">
        <v>731</v>
      </c>
    </row>
    <row r="65" spans="1:37" ht="15.75" customHeight="1">
      <c r="A65" s="858" t="s">
        <v>238</v>
      </c>
      <c r="B65" s="813">
        <v>8053</v>
      </c>
      <c r="C65" s="577">
        <v>2890</v>
      </c>
      <c r="D65" s="577">
        <v>130</v>
      </c>
      <c r="E65" s="577">
        <v>265</v>
      </c>
      <c r="F65" s="871">
        <v>2495</v>
      </c>
      <c r="G65" s="718"/>
      <c r="H65" s="812">
        <v>798</v>
      </c>
      <c r="I65" s="1676">
        <v>14.96</v>
      </c>
      <c r="J65" s="27"/>
      <c r="K65" s="146">
        <v>5</v>
      </c>
      <c r="L65" s="141">
        <v>324055</v>
      </c>
      <c r="M65" s="1677">
        <v>68.2</v>
      </c>
      <c r="N65" s="929">
        <v>33647987</v>
      </c>
      <c r="O65" s="1678">
        <v>81.3</v>
      </c>
      <c r="P65" s="1677">
        <v>86.7</v>
      </c>
      <c r="Q65" s="27"/>
      <c r="R65" s="920">
        <v>473218</v>
      </c>
      <c r="S65" s="136">
        <v>99.84</v>
      </c>
      <c r="T65" s="148">
        <v>44935637</v>
      </c>
      <c r="U65" s="136">
        <v>88.43</v>
      </c>
      <c r="V65" s="176">
        <v>94.96</v>
      </c>
      <c r="W65" s="1678">
        <v>1.8</v>
      </c>
      <c r="X65" s="1678">
        <v>77.8</v>
      </c>
      <c r="Y65" s="1678">
        <v>19</v>
      </c>
      <c r="Z65" s="1677">
        <v>70.2</v>
      </c>
      <c r="AA65" s="27"/>
      <c r="AB65" s="1365">
        <v>3524</v>
      </c>
      <c r="AC65" s="648">
        <v>85.1</v>
      </c>
      <c r="AD65" s="647">
        <f>SUM(AE65:AI65)</f>
        <v>11353</v>
      </c>
      <c r="AE65" s="647">
        <v>5246</v>
      </c>
      <c r="AF65" s="647" t="s">
        <v>153</v>
      </c>
      <c r="AG65" s="647">
        <v>6001</v>
      </c>
      <c r="AH65" s="647">
        <v>106</v>
      </c>
      <c r="AI65" s="647" t="s">
        <v>153</v>
      </c>
      <c r="AJ65" s="647">
        <v>26</v>
      </c>
      <c r="AK65" s="1542">
        <v>905</v>
      </c>
    </row>
    <row r="66" spans="1:37" ht="15.75" customHeight="1">
      <c r="A66" s="860" t="s">
        <v>239</v>
      </c>
      <c r="B66" s="872">
        <v>8858</v>
      </c>
      <c r="C66" s="600">
        <v>3138.2</v>
      </c>
      <c r="D66" s="600">
        <v>115.7</v>
      </c>
      <c r="E66" s="600">
        <v>332.8</v>
      </c>
      <c r="F66" s="1546">
        <v>2688.9</v>
      </c>
      <c r="G66" s="862"/>
      <c r="H66" s="873">
        <v>532</v>
      </c>
      <c r="I66" s="1709">
        <v>23.59</v>
      </c>
      <c r="J66" s="712"/>
      <c r="K66" s="531">
        <v>6</v>
      </c>
      <c r="L66" s="530">
        <v>364269</v>
      </c>
      <c r="M66" s="1680">
        <v>91.5</v>
      </c>
      <c r="N66" s="525">
        <v>37051497</v>
      </c>
      <c r="O66" s="533">
        <v>77.2</v>
      </c>
      <c r="P66" s="1680">
        <v>99.3</v>
      </c>
      <c r="Q66" s="532"/>
      <c r="R66" s="501">
        <v>395564</v>
      </c>
      <c r="S66" s="533">
        <v>99.5</v>
      </c>
      <c r="T66" s="106">
        <v>42711605</v>
      </c>
      <c r="U66" s="533">
        <v>88.3</v>
      </c>
      <c r="V66" s="696">
        <v>108</v>
      </c>
      <c r="W66" s="1681">
        <v>37.1</v>
      </c>
      <c r="X66" s="1681">
        <v>76.5</v>
      </c>
      <c r="Y66" s="1681">
        <v>19.100000000000001</v>
      </c>
      <c r="Z66" s="1680">
        <v>43.7</v>
      </c>
      <c r="AA66" s="712"/>
      <c r="AB66" s="1367">
        <v>2629</v>
      </c>
      <c r="AC66" s="1034">
        <v>84.3</v>
      </c>
      <c r="AD66" s="509">
        <v>9793</v>
      </c>
      <c r="AE66" s="509">
        <v>5389</v>
      </c>
      <c r="AF66" s="1392" t="s">
        <v>148</v>
      </c>
      <c r="AG66" s="564">
        <v>4347</v>
      </c>
      <c r="AH66" s="1078" t="s">
        <v>148</v>
      </c>
      <c r="AI66" s="509" t="s">
        <v>148</v>
      </c>
      <c r="AJ66" s="509">
        <v>6</v>
      </c>
      <c r="AK66" s="1507">
        <v>246</v>
      </c>
    </row>
    <row r="67" spans="1:37" ht="15.75" customHeight="1">
      <c r="A67" s="858" t="s">
        <v>241</v>
      </c>
      <c r="B67" s="813">
        <v>8646</v>
      </c>
      <c r="C67" s="577">
        <v>3064.61</v>
      </c>
      <c r="D67" s="577">
        <v>100.13</v>
      </c>
      <c r="E67" s="577">
        <v>285.54000000000002</v>
      </c>
      <c r="F67" s="1442">
        <v>2678.94</v>
      </c>
      <c r="G67" s="718"/>
      <c r="H67" s="812">
        <v>687</v>
      </c>
      <c r="I67" s="1676">
        <v>8.01</v>
      </c>
      <c r="J67" s="27"/>
      <c r="K67" s="146">
        <v>2</v>
      </c>
      <c r="L67" s="141">
        <v>468400</v>
      </c>
      <c r="M67" s="1677">
        <v>79.7</v>
      </c>
      <c r="N67" s="929">
        <v>53277010</v>
      </c>
      <c r="O67" s="1678">
        <v>89.92</v>
      </c>
      <c r="P67" s="1677">
        <v>94.8</v>
      </c>
      <c r="Q67" s="27"/>
      <c r="R67" s="920">
        <v>569700</v>
      </c>
      <c r="S67" s="136">
        <v>99</v>
      </c>
      <c r="T67" s="148">
        <v>58068077</v>
      </c>
      <c r="U67" s="136">
        <v>95.2</v>
      </c>
      <c r="V67" s="176">
        <v>101.9</v>
      </c>
      <c r="W67" s="1678">
        <v>4.5</v>
      </c>
      <c r="X67" s="1678">
        <v>50.1</v>
      </c>
      <c r="Y67" s="1678">
        <v>28.9</v>
      </c>
      <c r="Z67" s="1677">
        <v>52.4</v>
      </c>
      <c r="AA67" s="27"/>
      <c r="AB67" s="1365">
        <v>4603</v>
      </c>
      <c r="AC67" s="648">
        <v>79.5</v>
      </c>
      <c r="AD67" s="647">
        <v>16459</v>
      </c>
      <c r="AE67" s="647">
        <v>10992</v>
      </c>
      <c r="AF67" s="522" t="s">
        <v>153</v>
      </c>
      <c r="AG67" s="647">
        <v>4785</v>
      </c>
      <c r="AH67" s="647">
        <v>122</v>
      </c>
      <c r="AI67" s="647">
        <v>560</v>
      </c>
      <c r="AJ67" s="647">
        <v>44</v>
      </c>
      <c r="AK67" s="1542">
        <v>1138</v>
      </c>
    </row>
    <row r="68" spans="1:37" ht="15.75" customHeight="1" thickBot="1">
      <c r="A68" s="860" t="s">
        <v>243</v>
      </c>
      <c r="B68" s="842">
        <v>1908</v>
      </c>
      <c r="C68" s="689">
        <v>502</v>
      </c>
      <c r="D68" s="689">
        <v>31</v>
      </c>
      <c r="E68" s="689">
        <v>52</v>
      </c>
      <c r="F68" s="1558">
        <v>419</v>
      </c>
      <c r="G68" s="718"/>
      <c r="H68" s="690">
        <v>168</v>
      </c>
      <c r="I68" s="1693">
        <v>6</v>
      </c>
      <c r="J68" s="27"/>
      <c r="K68" s="75" t="s">
        <v>153</v>
      </c>
      <c r="L68" s="105">
        <v>310130</v>
      </c>
      <c r="M68" s="1694">
        <v>98.3</v>
      </c>
      <c r="N68" s="525">
        <v>34563100</v>
      </c>
      <c r="O68" s="1695">
        <v>100</v>
      </c>
      <c r="P68" s="1694">
        <v>98.6</v>
      </c>
      <c r="Q68" s="27"/>
      <c r="R68" s="501">
        <v>312507</v>
      </c>
      <c r="S68" s="104">
        <v>100</v>
      </c>
      <c r="T68" s="106">
        <v>35602371</v>
      </c>
      <c r="U68" s="104">
        <v>95.26</v>
      </c>
      <c r="V68" s="1695">
        <v>113.925</v>
      </c>
      <c r="W68" s="112" t="s">
        <v>153</v>
      </c>
      <c r="X68" s="1695">
        <v>91.3</v>
      </c>
      <c r="Y68" s="1695">
        <v>8.3000000000000007</v>
      </c>
      <c r="Z68" s="1694">
        <v>62.9</v>
      </c>
      <c r="AA68" s="27"/>
      <c r="AB68" s="1041">
        <v>1717</v>
      </c>
      <c r="AC68" s="1043">
        <v>73.599999999999994</v>
      </c>
      <c r="AD68" s="843">
        <v>8539</v>
      </c>
      <c r="AE68" s="843">
        <v>5836</v>
      </c>
      <c r="AF68" s="786" t="s">
        <v>153</v>
      </c>
      <c r="AG68" s="843">
        <v>2568</v>
      </c>
      <c r="AH68" s="843">
        <v>135</v>
      </c>
      <c r="AI68" s="786" t="s">
        <v>153</v>
      </c>
      <c r="AJ68" s="595">
        <v>16</v>
      </c>
      <c r="AK68" s="1577">
        <v>392</v>
      </c>
    </row>
    <row r="69" spans="1:37" s="362" customFormat="1" ht="15" customHeight="1" thickTop="1">
      <c r="A69" s="874" t="s">
        <v>244</v>
      </c>
      <c r="B69" s="875">
        <f>SUM(B7:B68)</f>
        <v>466807</v>
      </c>
      <c r="C69" s="876">
        <f>SUM(C7:C68)</f>
        <v>142554.84499999997</v>
      </c>
      <c r="D69" s="876">
        <f>SUM(D7:D68)</f>
        <v>4854.6409999999996</v>
      </c>
      <c r="E69" s="876">
        <f>SUM(E7:E68)</f>
        <v>13774.848999999998</v>
      </c>
      <c r="F69" s="877">
        <f>SUM(F7:F68)</f>
        <v>123968.65399999999</v>
      </c>
      <c r="G69" s="878"/>
      <c r="H69" s="879">
        <f>SUM(H7:H68)</f>
        <v>25193</v>
      </c>
      <c r="I69" s="880">
        <f>SUM(I7:I68)</f>
        <v>689.50599999999997</v>
      </c>
      <c r="J69" s="716"/>
      <c r="K69" s="356">
        <f>SUM(K7:K68)</f>
        <v>200</v>
      </c>
      <c r="L69" s="303">
        <f>SUM(L7:L68)</f>
        <v>19435461</v>
      </c>
      <c r="M69" s="305" t="s">
        <v>153</v>
      </c>
      <c r="N69" s="357">
        <f>SUM(N7:N68)</f>
        <v>2029139960</v>
      </c>
      <c r="O69" s="303" t="s">
        <v>153</v>
      </c>
      <c r="P69" s="358" t="s">
        <v>153</v>
      </c>
      <c r="Q69" s="715"/>
      <c r="R69" s="359">
        <f>SUM(R7:R68)</f>
        <v>22117686</v>
      </c>
      <c r="S69" s="303" t="s">
        <v>153</v>
      </c>
      <c r="T69" s="360">
        <f>SUM(T7:T68)</f>
        <v>2264162169</v>
      </c>
      <c r="U69" s="303" t="s">
        <v>153</v>
      </c>
      <c r="V69" s="303">
        <f>SUM(V7:V68)</f>
        <v>6467.7312752242551</v>
      </c>
      <c r="W69" s="361" t="s">
        <v>153</v>
      </c>
      <c r="X69" s="305" t="s">
        <v>153</v>
      </c>
      <c r="Y69" s="361" t="s">
        <v>153</v>
      </c>
      <c r="Z69" s="305" t="s">
        <v>153</v>
      </c>
      <c r="AA69" s="715"/>
      <c r="AB69" s="1368">
        <f>SUM(AB7:AB68)</f>
        <v>146574</v>
      </c>
      <c r="AC69" s="1369">
        <f t="shared" ref="AC69:AI69" si="0">SUM(AC7:AC68)</f>
        <v>5210.3587458617276</v>
      </c>
      <c r="AD69" s="1370">
        <f t="shared" si="0"/>
        <v>529119</v>
      </c>
      <c r="AE69" s="1370">
        <f t="shared" si="0"/>
        <v>231293</v>
      </c>
      <c r="AF69" s="1370">
        <f>SUM(AF7:AF68)</f>
        <v>99</v>
      </c>
      <c r="AG69" s="1370">
        <f t="shared" si="0"/>
        <v>199505</v>
      </c>
      <c r="AH69" s="1370">
        <f t="shared" si="0"/>
        <v>16987</v>
      </c>
      <c r="AI69" s="1370">
        <f t="shared" si="0"/>
        <v>89388</v>
      </c>
      <c r="AJ69" s="1370">
        <f>SUM(AJ7:AJ68)</f>
        <v>1958</v>
      </c>
      <c r="AK69" s="1371">
        <f>SUM(AK7:AK68)</f>
        <v>66226</v>
      </c>
    </row>
    <row r="70" spans="1:37" ht="15" customHeight="1">
      <c r="A70" s="881" t="s">
        <v>245</v>
      </c>
      <c r="B70" s="882">
        <f>AVERAGE(B7:B68)</f>
        <v>7529.1451612903229</v>
      </c>
      <c r="C70" s="883">
        <f>AVERAGE(C7:C68)</f>
        <v>2299.2716935483868</v>
      </c>
      <c r="D70" s="883">
        <f>AVERAGE(D7:D68)</f>
        <v>78.30066129032258</v>
      </c>
      <c r="E70" s="883">
        <f>AVERAGE(E7:E68)</f>
        <v>222.17498387096771</v>
      </c>
      <c r="F70" s="884">
        <f>AVERAGE(F7:F68)</f>
        <v>1999.4944193548386</v>
      </c>
      <c r="G70" s="885"/>
      <c r="H70" s="886">
        <f>AVERAGE(H7:H68)</f>
        <v>406.33870967741933</v>
      </c>
      <c r="I70" s="887">
        <f>AVERAGE(I7:I68)</f>
        <v>11.121064516129032</v>
      </c>
      <c r="J70" s="717"/>
      <c r="K70" s="428">
        <f t="shared" ref="K70:P70" si="1">AVERAGE(K7:K68)</f>
        <v>4.0816326530612246</v>
      </c>
      <c r="L70" s="429">
        <f t="shared" si="1"/>
        <v>313475.17741935485</v>
      </c>
      <c r="M70" s="433">
        <f t="shared" si="1"/>
        <v>86.299828985696578</v>
      </c>
      <c r="N70" s="437">
        <f t="shared" si="1"/>
        <v>32728063.870967742</v>
      </c>
      <c r="O70" s="432">
        <f t="shared" si="1"/>
        <v>80.207182282732973</v>
      </c>
      <c r="P70" s="438">
        <f t="shared" si="1"/>
        <v>94.59179306447534</v>
      </c>
      <c r="Q70" s="27"/>
      <c r="R70" s="296">
        <f>AVERAGE(R7:R68)</f>
        <v>356736.87096774194</v>
      </c>
      <c r="S70" s="432">
        <f>AVERAGE(S7:S68)</f>
        <v>98.928406774894057</v>
      </c>
      <c r="T70" s="429">
        <f t="shared" ref="T70:X70" si="2">AVERAGE(T7:T68)</f>
        <v>37117412.606557377</v>
      </c>
      <c r="U70" s="432">
        <f t="shared" si="2"/>
        <v>90.941813444394526</v>
      </c>
      <c r="V70" s="432">
        <f t="shared" si="2"/>
        <v>106.02838156105337</v>
      </c>
      <c r="W70" s="432">
        <f t="shared" si="2"/>
        <v>40.909813806998443</v>
      </c>
      <c r="X70" s="433">
        <f t="shared" si="2"/>
        <v>66.270157242399947</v>
      </c>
      <c r="Y70" s="439">
        <f>AVERAGE(Y7:Y68)</f>
        <v>23.110610229767701</v>
      </c>
      <c r="Z70" s="433">
        <f t="shared" ref="Z70" si="3">AVERAGE(Z7:Z68)</f>
        <v>51.889203873496776</v>
      </c>
      <c r="AA70" s="27"/>
      <c r="AB70" s="1302">
        <f>AVERAGE(AB7:AB68)</f>
        <v>2364.0967741935483</v>
      </c>
      <c r="AC70" s="1311">
        <f>AVERAGE(AC7:AC68)</f>
        <v>86.839312431028787</v>
      </c>
      <c r="AD70" s="1303">
        <f>AVERAGE(AD7:AD68)</f>
        <v>8674.0819672131147</v>
      </c>
      <c r="AE70" s="1303">
        <f>AVERAGE(AE7:AE68)</f>
        <v>3730.5322580645161</v>
      </c>
      <c r="AF70" s="1303">
        <f>AVERAGE(AF7:AF68)</f>
        <v>99</v>
      </c>
      <c r="AG70" s="1303">
        <f t="shared" ref="AG70:AK70" si="4">AVERAGE(AG7:AG68)</f>
        <v>3217.8225806451615</v>
      </c>
      <c r="AH70" s="1303">
        <f t="shared" si="4"/>
        <v>629.14814814814815</v>
      </c>
      <c r="AI70" s="1303">
        <f t="shared" si="4"/>
        <v>3724.5</v>
      </c>
      <c r="AJ70" s="1303">
        <f t="shared" si="4"/>
        <v>31.580645161290324</v>
      </c>
      <c r="AK70" s="1304">
        <f t="shared" si="4"/>
        <v>1068.1612903225807</v>
      </c>
    </row>
    <row r="71" spans="1:37" s="69" customFormat="1" ht="13.2" customHeight="1">
      <c r="A71" s="69" t="s">
        <v>246</v>
      </c>
      <c r="B71" s="2058" t="s">
        <v>473</v>
      </c>
      <c r="C71" s="2058"/>
      <c r="D71" s="2058"/>
      <c r="E71" s="2058"/>
      <c r="H71" s="29"/>
      <c r="I71" s="29"/>
      <c r="K71" s="29"/>
      <c r="L71" s="384"/>
      <c r="M71" s="384"/>
      <c r="N71" s="29"/>
      <c r="O71" s="29"/>
      <c r="P71" s="366"/>
      <c r="Q71" s="366"/>
      <c r="R71" s="2059"/>
      <c r="S71" s="2060"/>
      <c r="T71" s="2060"/>
      <c r="U71" s="2060"/>
      <c r="V71" s="2060"/>
      <c r="W71" s="378"/>
      <c r="X71" s="378"/>
      <c r="Y71" s="378"/>
      <c r="Z71" s="378"/>
      <c r="AA71" s="378"/>
      <c r="AB71" s="1317"/>
      <c r="AC71" s="1317"/>
      <c r="AD71" s="1317"/>
      <c r="AE71" s="1317"/>
      <c r="AF71" s="1317"/>
      <c r="AG71" s="1317"/>
      <c r="AH71" s="1317"/>
      <c r="AI71" s="1317"/>
      <c r="AJ71" s="1317"/>
      <c r="AK71" s="1317"/>
    </row>
    <row r="126" spans="1:37" ht="27" customHeight="1">
      <c r="A126" s="1959"/>
      <c r="B126" s="1959"/>
      <c r="C126" s="1959"/>
      <c r="D126" s="1959"/>
      <c r="E126" s="1959"/>
      <c r="F126" s="1959"/>
      <c r="G126" s="1959"/>
      <c r="H126" s="1959"/>
      <c r="I126" s="1959"/>
      <c r="J126" s="1959"/>
      <c r="K126" s="1959"/>
      <c r="L126" s="1959"/>
      <c r="M126" s="1959"/>
      <c r="N126" s="1959"/>
      <c r="O126" s="1959"/>
      <c r="P126" s="1959"/>
      <c r="Q126" s="1959"/>
      <c r="R126" s="1959"/>
      <c r="S126" s="1959"/>
      <c r="T126" s="1959"/>
      <c r="U126" s="1959"/>
      <c r="V126" s="1959"/>
      <c r="W126" s="371"/>
      <c r="X126" s="371"/>
      <c r="Y126" s="371"/>
      <c r="Z126" s="371"/>
      <c r="AA126" s="371"/>
      <c r="AB126" s="1959"/>
      <c r="AC126" s="1959"/>
      <c r="AD126" s="1959"/>
      <c r="AE126" s="1959"/>
      <c r="AF126" s="1959"/>
      <c r="AG126" s="1959"/>
      <c r="AH126" s="1959"/>
      <c r="AI126" s="1959"/>
      <c r="AJ126" s="371"/>
      <c r="AK126" s="371"/>
    </row>
  </sheetData>
  <customSheetViews>
    <customSheetView guid="{CFB8F6A3-286B-44DA-98E2-E06FA9DC17D9}" scale="90" showGridLines="0">
      <pane xSplit="1" ySplit="6" topLeftCell="B40" activePane="bottomRight" state="frozen"/>
      <selection pane="bottomRight" activeCell="A7" sqref="A7:A54"/>
      <colBreaks count="2" manualBreakCount="2">
        <brk id="24" max="1048575" man="1"/>
        <brk id="68" max="1048575" man="1"/>
      </colBreaks>
      <pageMargins left="0" right="0" top="0" bottom="0" header="0" footer="0"/>
      <pageSetup paperSize="9" scale="80" firstPageNumber="12" fitToWidth="0" orientation="portrait" useFirstPageNumber="1" r:id="rId1"/>
      <headerFooter alignWithMargins="0"/>
    </customSheetView>
    <customSheetView guid="{429188B7-F8E8-41E0-BAA6-8F869C883D4F}" showGridLines="0">
      <pane xSplit="1" ySplit="6" topLeftCell="V46" activePane="bottomRight" state="frozen"/>
      <selection pane="bottomRight" activeCell="AD70" sqref="AD70"/>
      <colBreaks count="4" manualBreakCount="4">
        <brk id="17" min="1" max="76" man="1"/>
        <brk id="26" min="1" max="76" man="1"/>
        <brk id="37" max="72" man="1"/>
        <brk id="66" max="1048575" man="1"/>
      </colBreaks>
      <pageMargins left="0" right="0" top="0" bottom="0" header="0" footer="0"/>
      <pageSetup paperSize="8" scale="92" firstPageNumber="12" fitToWidth="0" orientation="portrait" r:id="rId2"/>
      <headerFooter alignWithMargins="0">
        <oddHeader>&amp;L&amp;"ＭＳ Ｐゴシック,太字"&amp;16 ６　都　市</oddHeader>
      </headerFooter>
    </customSheetView>
  </customSheetViews>
  <mergeCells count="37">
    <mergeCell ref="A126:J126"/>
    <mergeCell ref="K126:V126"/>
    <mergeCell ref="AB126:AI126"/>
    <mergeCell ref="B71:E71"/>
    <mergeCell ref="R71:V71"/>
    <mergeCell ref="AJ3:AK5"/>
    <mergeCell ref="B3:B5"/>
    <mergeCell ref="C3:C5"/>
    <mergeCell ref="U4:U5"/>
    <mergeCell ref="L3:M3"/>
    <mergeCell ref="O4:O5"/>
    <mergeCell ref="F4:F5"/>
    <mergeCell ref="D3:F3"/>
    <mergeCell ref="V3:V5"/>
    <mergeCell ref="AG4:AG5"/>
    <mergeCell ref="AI4:AI5"/>
    <mergeCell ref="D4:D5"/>
    <mergeCell ref="AB4:AB5"/>
    <mergeCell ref="E4:E5"/>
    <mergeCell ref="W3:W5"/>
    <mergeCell ref="AH4:AH5"/>
    <mergeCell ref="H2:I2"/>
    <mergeCell ref="R2:S2"/>
    <mergeCell ref="S4:S5"/>
    <mergeCell ref="I3:I5"/>
    <mergeCell ref="M4:M5"/>
    <mergeCell ref="H3:H5"/>
    <mergeCell ref="P3:P5"/>
    <mergeCell ref="K3:K5"/>
    <mergeCell ref="X3:X5"/>
    <mergeCell ref="Z3:Z5"/>
    <mergeCell ref="Y3:Y5"/>
    <mergeCell ref="AE4:AE5"/>
    <mergeCell ref="AD3:AI3"/>
    <mergeCell ref="AB3:AC3"/>
    <mergeCell ref="AC4:AC5"/>
    <mergeCell ref="AF4:AF5"/>
  </mergeCells>
  <phoneticPr fontId="2"/>
  <dataValidations count="1">
    <dataValidation imeMode="disabled" allowBlank="1" showInputMessage="1" showErrorMessage="1" sqref="B7:AK26 B27:AI27 B28:AK68" xr:uid="{00000000-0002-0000-0700-000000000000}"/>
  </dataValidations>
  <pageMargins left="0.74803149606299202" right="0.23622047244094502" top="0.81" bottom="0.39370078740157499" header="0.59055118110236204" footer="0.31496062992126"/>
  <pageSetup paperSize="9" scale="61" firstPageNumber="12" fitToWidth="0" orientation="portrait" r:id="rId3"/>
  <headerFooter alignWithMargins="0">
    <oddHeader>&amp;L&amp;"ＭＳ Ｐゴシック,太字"&amp;16 ６　都　市</oddHeader>
  </headerFooter>
  <colBreaks count="4" manualBreakCount="4">
    <brk id="17" min="1" max="71" man="1"/>
    <brk id="27" min="1" max="71" man="1"/>
    <brk id="37" max="72" man="1"/>
    <brk id="66" max="1048575" man="1"/>
  </col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DB140"/>
  <sheetViews>
    <sheetView showGridLines="0" view="pageBreakPreview" zoomScale="90" zoomScaleNormal="100" zoomScaleSheetLayoutView="90" workbookViewId="0">
      <pane xSplit="1" ySplit="7" topLeftCell="B8" activePane="bottomRight" state="frozen"/>
      <selection pane="topRight" activeCell="J20" sqref="J19:J20"/>
      <selection pane="bottomLeft" activeCell="J20" sqref="J19:J20"/>
      <selection pane="bottomRight" activeCell="G13" sqref="G13"/>
    </sheetView>
  </sheetViews>
  <sheetFormatPr defaultColWidth="8.88671875" defaultRowHeight="13.2"/>
  <cols>
    <col min="1" max="1" width="12.88671875" customWidth="1"/>
    <col min="2" max="9" width="11.6640625" customWidth="1"/>
    <col min="10" max="10" width="9.44140625" customWidth="1"/>
    <col min="11" max="12" width="9.77734375" customWidth="1"/>
    <col min="13" max="13" width="7.33203125" customWidth="1"/>
    <col min="14" max="14" width="8.21875" customWidth="1"/>
    <col min="15" max="15" width="9.77734375" customWidth="1"/>
    <col min="16" max="17" width="9.21875" customWidth="1"/>
    <col min="18" max="18" width="9.6640625" customWidth="1"/>
    <col min="19" max="19" width="7.44140625" customWidth="1"/>
    <col min="20" max="20" width="8.109375" customWidth="1"/>
    <col min="21" max="21" width="9.6640625" customWidth="1"/>
    <col min="22" max="22" width="7.44140625" customWidth="1"/>
    <col min="23" max="23" width="10" customWidth="1"/>
    <col min="24" max="24" width="6.21875" customWidth="1"/>
    <col min="25" max="25" width="7.44140625" customWidth="1"/>
    <col min="26" max="26" width="10" customWidth="1"/>
    <col min="27" max="27" width="6.21875" customWidth="1"/>
    <col min="28" max="28" width="7.44140625" customWidth="1"/>
    <col min="29" max="29" width="10" customWidth="1"/>
    <col min="30" max="30" width="6.21875" customWidth="1"/>
    <col min="31" max="31" width="6.44140625" customWidth="1"/>
    <col min="32" max="32" width="9.44140625" customWidth="1"/>
    <col min="33" max="33" width="7.88671875" customWidth="1"/>
    <col min="34" max="34" width="6" customWidth="1"/>
    <col min="35" max="35" width="6.6640625" customWidth="1"/>
    <col min="36" max="36" width="7.33203125" customWidth="1"/>
    <col min="37" max="37" width="6" customWidth="1"/>
    <col min="38" max="38" width="7.44140625" customWidth="1"/>
    <col min="39" max="39" width="7.33203125" customWidth="1"/>
    <col min="40" max="42" width="7.44140625" customWidth="1"/>
    <col min="43" max="43" width="9.21875" customWidth="1"/>
    <col min="44" max="44" width="12.21875" customWidth="1"/>
    <col min="45" max="45" width="9.6640625" customWidth="1"/>
    <col min="46" max="47" width="12.33203125" customWidth="1"/>
    <col min="48" max="57" width="6.21875" customWidth="1"/>
    <col min="58" max="58" width="6.88671875" customWidth="1"/>
    <col min="59" max="59" width="1.88671875" customWidth="1"/>
    <col min="60" max="60" width="6.109375" customWidth="1"/>
    <col min="61" max="61" width="11.21875" customWidth="1"/>
    <col min="62" max="62" width="6.109375" customWidth="1"/>
    <col min="63" max="63" width="11.21875" customWidth="1"/>
    <col min="64" max="65" width="7.6640625" customWidth="1"/>
    <col min="66" max="66" width="13.77734375" customWidth="1"/>
    <col min="67" max="67" width="7.6640625" customWidth="1"/>
    <col min="68" max="68" width="10.21875" customWidth="1"/>
    <col min="69" max="70" width="7.44140625" customWidth="1"/>
    <col min="71" max="71" width="2" customWidth="1"/>
    <col min="72" max="72" width="9.33203125" customWidth="1"/>
    <col min="73" max="73" width="9.77734375" customWidth="1"/>
    <col min="74" max="74" width="2.109375" customWidth="1"/>
    <col min="75" max="83" width="8.44140625" customWidth="1"/>
    <col min="84" max="84" width="3" customWidth="1"/>
    <col min="85" max="85" width="12.44140625" customWidth="1"/>
    <col min="86" max="86" width="10.77734375" customWidth="1"/>
    <col min="87" max="87" width="9.88671875" customWidth="1"/>
    <col min="88" max="88" width="11.88671875" customWidth="1"/>
    <col min="89" max="96" width="10" customWidth="1"/>
    <col min="97" max="97" width="3.33203125" customWidth="1"/>
    <col min="98" max="98" width="9.77734375" customWidth="1"/>
    <col min="99" max="104" width="11.21875" customWidth="1"/>
    <col min="105" max="106" width="17.77734375" customWidth="1"/>
    <col min="107" max="107" width="8.88671875" customWidth="1"/>
  </cols>
  <sheetData>
    <row r="1" spans="1:106" ht="19.2">
      <c r="A1" s="1" t="s">
        <v>474</v>
      </c>
      <c r="B1" s="1"/>
      <c r="C1" s="1"/>
      <c r="D1" s="1"/>
      <c r="E1" s="1"/>
      <c r="G1" s="1"/>
      <c r="I1" s="1"/>
      <c r="V1" s="327"/>
      <c r="W1" s="327"/>
      <c r="X1" s="327"/>
      <c r="Y1" s="327"/>
      <c r="Z1" s="327"/>
      <c r="AA1" s="327"/>
      <c r="AB1" s="327"/>
      <c r="AC1" s="327"/>
      <c r="AD1" s="327"/>
      <c r="AE1" s="327"/>
      <c r="AF1" s="327"/>
    </row>
    <row r="2" spans="1:106" ht="18.75" customHeight="1">
      <c r="B2" s="13" t="s">
        <v>475</v>
      </c>
      <c r="C2" s="382"/>
      <c r="D2" s="382"/>
      <c r="E2" s="382"/>
      <c r="F2" s="32"/>
      <c r="G2" s="382"/>
      <c r="H2" s="32"/>
      <c r="I2" s="382"/>
      <c r="M2" s="2067"/>
      <c r="N2" s="2067"/>
      <c r="V2" s="331"/>
      <c r="W2" s="331"/>
      <c r="Y2" s="331"/>
      <c r="Z2" s="331"/>
      <c r="AB2" s="2067"/>
      <c r="AC2" s="2067"/>
      <c r="AM2" s="331"/>
      <c r="AN2" s="2067"/>
      <c r="AO2" s="2067"/>
      <c r="AP2" s="2067"/>
      <c r="AV2" s="382"/>
      <c r="AZ2" s="2067"/>
      <c r="BA2" s="2067"/>
      <c r="BB2" s="2067"/>
      <c r="BH2" s="416" t="s">
        <v>476</v>
      </c>
      <c r="BI2" s="331"/>
      <c r="BJ2" s="331"/>
      <c r="BK2" s="377"/>
      <c r="BL2" s="331"/>
      <c r="BM2" s="331"/>
      <c r="BN2" s="377"/>
      <c r="BO2" s="377"/>
      <c r="BP2" s="377"/>
      <c r="BQ2" s="377"/>
      <c r="BR2" s="377"/>
      <c r="BS2" s="377"/>
      <c r="BT2" s="416" t="s">
        <v>477</v>
      </c>
      <c r="BU2" s="416"/>
      <c r="BV2" s="382"/>
      <c r="BW2" s="2074" t="s">
        <v>478</v>
      </c>
      <c r="BX2" s="2067"/>
      <c r="BY2" s="2067"/>
      <c r="BZ2" s="2074"/>
      <c r="CA2" s="2067"/>
      <c r="CB2" s="2067"/>
      <c r="CC2" s="416"/>
      <c r="CD2" s="331"/>
      <c r="CE2" s="331"/>
      <c r="CG2" s="382" t="s">
        <v>479</v>
      </c>
      <c r="CH2" s="377"/>
      <c r="CK2" s="95"/>
      <c r="CT2" s="848" t="s">
        <v>480</v>
      </c>
      <c r="CU2" s="731"/>
      <c r="CV2" s="731"/>
      <c r="CW2" s="731"/>
      <c r="CX2" s="731"/>
      <c r="CY2" s="731"/>
      <c r="CZ2" s="731"/>
      <c r="DA2" s="731"/>
      <c r="DB2" s="731"/>
    </row>
    <row r="3" spans="1:106" ht="17.25" customHeight="1">
      <c r="A3" s="33" t="s">
        <v>437</v>
      </c>
      <c r="B3" s="2072" t="s">
        <v>481</v>
      </c>
      <c r="C3" s="2072"/>
      <c r="D3" s="2072"/>
      <c r="E3" s="2191"/>
      <c r="F3" s="2191"/>
      <c r="G3" s="2191"/>
      <c r="H3" s="2191"/>
      <c r="I3" s="2192"/>
      <c r="J3" s="2071" t="s">
        <v>482</v>
      </c>
      <c r="K3" s="2072"/>
      <c r="L3" s="2072"/>
      <c r="M3" s="2072"/>
      <c r="N3" s="2072"/>
      <c r="O3" s="2073"/>
      <c r="P3" s="2189" t="s">
        <v>483</v>
      </c>
      <c r="Q3" s="2190"/>
      <c r="R3" s="2190"/>
      <c r="S3" s="2190"/>
      <c r="T3" s="2190"/>
      <c r="U3" s="2190"/>
      <c r="V3" s="2185" t="s">
        <v>484</v>
      </c>
      <c r="W3" s="2185"/>
      <c r="X3" s="2185"/>
      <c r="Y3" s="2185"/>
      <c r="Z3" s="2185"/>
      <c r="AA3" s="2185"/>
      <c r="AB3" s="2102" t="s">
        <v>485</v>
      </c>
      <c r="AC3" s="2072"/>
      <c r="AD3" s="2072"/>
      <c r="AE3" s="2072"/>
      <c r="AF3" s="2072"/>
      <c r="AG3" s="2081"/>
      <c r="AH3" s="2071" t="s">
        <v>486</v>
      </c>
      <c r="AI3" s="2072"/>
      <c r="AJ3" s="2072"/>
      <c r="AK3" s="2072"/>
      <c r="AL3" s="2072"/>
      <c r="AM3" s="2081"/>
      <c r="AN3" s="2083" t="s">
        <v>487</v>
      </c>
      <c r="AO3" s="2086"/>
      <c r="AP3" s="2003" t="s">
        <v>488</v>
      </c>
      <c r="AQ3" s="2082" t="s">
        <v>489</v>
      </c>
      <c r="AR3" s="2085"/>
      <c r="AS3" s="2085"/>
      <c r="AT3" s="2085"/>
      <c r="AU3" s="2130"/>
      <c r="AV3" s="2137" t="s">
        <v>490</v>
      </c>
      <c r="AW3" s="2137"/>
      <c r="AX3" s="2137"/>
      <c r="AY3" s="2137"/>
      <c r="AZ3" s="2137"/>
      <c r="BA3" s="2137"/>
      <c r="BB3" s="2137"/>
      <c r="BC3" s="2137"/>
      <c r="BD3" s="2137"/>
      <c r="BE3" s="2138"/>
      <c r="BF3" s="417" t="s">
        <v>491</v>
      </c>
      <c r="BG3" s="381"/>
      <c r="BH3" s="2087" t="s">
        <v>492</v>
      </c>
      <c r="BI3" s="2084"/>
      <c r="BJ3" s="2082" t="s">
        <v>493</v>
      </c>
      <c r="BK3" s="2084"/>
      <c r="BL3" s="2082" t="s">
        <v>494</v>
      </c>
      <c r="BM3" s="2085"/>
      <c r="BN3" s="2084"/>
      <c r="BO3" s="2082" t="s">
        <v>495</v>
      </c>
      <c r="BP3" s="2084"/>
      <c r="BQ3" s="2082" t="s">
        <v>496</v>
      </c>
      <c r="BR3" s="2083"/>
      <c r="BS3" s="381"/>
      <c r="BT3" s="2153" t="s">
        <v>497</v>
      </c>
      <c r="BU3" s="2154"/>
      <c r="BV3" s="721"/>
      <c r="BW3" s="2167" t="s">
        <v>498</v>
      </c>
      <c r="BX3" s="2137"/>
      <c r="BY3" s="2137"/>
      <c r="BZ3" s="2137"/>
      <c r="CA3" s="2137"/>
      <c r="CB3" s="2138"/>
      <c r="CC3" s="2082" t="s">
        <v>499</v>
      </c>
      <c r="CD3" s="2085"/>
      <c r="CE3" s="2083"/>
      <c r="CF3" s="381"/>
      <c r="CG3" s="2032" t="s">
        <v>500</v>
      </c>
      <c r="CH3" s="2179" t="s">
        <v>501</v>
      </c>
      <c r="CI3" s="2163" t="s">
        <v>502</v>
      </c>
      <c r="CJ3" s="2138"/>
      <c r="CK3" s="2082" t="s">
        <v>503</v>
      </c>
      <c r="CL3" s="2085"/>
      <c r="CM3" s="2085"/>
      <c r="CN3" s="2003" t="s">
        <v>504</v>
      </c>
      <c r="CO3" s="2009" t="s">
        <v>505</v>
      </c>
      <c r="CP3" s="2009" t="s">
        <v>506</v>
      </c>
      <c r="CQ3" s="2009" t="s">
        <v>507</v>
      </c>
      <c r="CR3" s="2030" t="s">
        <v>508</v>
      </c>
      <c r="CS3" s="374"/>
      <c r="CT3" s="1896" t="s">
        <v>509</v>
      </c>
      <c r="CU3" s="1897"/>
      <c r="CV3" s="1897"/>
      <c r="CW3" s="1897"/>
      <c r="CX3" s="1897"/>
      <c r="CY3" s="1897"/>
      <c r="CZ3" s="1897"/>
      <c r="DA3" s="1939" t="s">
        <v>510</v>
      </c>
      <c r="DB3" s="2006" t="s">
        <v>511</v>
      </c>
    </row>
    <row r="4" spans="1:106" ht="14.4">
      <c r="A4" s="400"/>
      <c r="B4" s="2069" t="s">
        <v>512</v>
      </c>
      <c r="C4" s="2069"/>
      <c r="D4" s="2080"/>
      <c r="E4" s="2159" t="s">
        <v>513</v>
      </c>
      <c r="F4" s="2159"/>
      <c r="G4" s="2159"/>
      <c r="H4" s="2159"/>
      <c r="I4" s="2188"/>
      <c r="J4" s="2068" t="s">
        <v>512</v>
      </c>
      <c r="K4" s="2069"/>
      <c r="L4" s="2070"/>
      <c r="M4" s="2075" t="s">
        <v>513</v>
      </c>
      <c r="N4" s="2069"/>
      <c r="O4" s="2076"/>
      <c r="P4" s="2075" t="s">
        <v>512</v>
      </c>
      <c r="Q4" s="2069"/>
      <c r="R4" s="2080"/>
      <c r="S4" s="2077" t="s">
        <v>513</v>
      </c>
      <c r="T4" s="2078"/>
      <c r="U4" s="2078"/>
      <c r="V4" s="2187" t="s">
        <v>512</v>
      </c>
      <c r="W4" s="2078"/>
      <c r="X4" s="2079"/>
      <c r="Y4" s="2077" t="s">
        <v>513</v>
      </c>
      <c r="Z4" s="2078"/>
      <c r="AA4" s="2079"/>
      <c r="AB4" s="2077" t="s">
        <v>512</v>
      </c>
      <c r="AC4" s="2078"/>
      <c r="AD4" s="2079"/>
      <c r="AE4" s="2075" t="s">
        <v>513</v>
      </c>
      <c r="AF4" s="2069"/>
      <c r="AG4" s="2188"/>
      <c r="AH4" s="2068" t="s">
        <v>512</v>
      </c>
      <c r="AI4" s="2069"/>
      <c r="AJ4" s="2080"/>
      <c r="AK4" s="2077" t="s">
        <v>513</v>
      </c>
      <c r="AL4" s="2078"/>
      <c r="AM4" s="2186"/>
      <c r="AN4" s="2144" t="s">
        <v>514</v>
      </c>
      <c r="AO4" s="2141" t="s">
        <v>515</v>
      </c>
      <c r="AP4" s="2139"/>
      <c r="AQ4" s="2115" t="s">
        <v>516</v>
      </c>
      <c r="AR4" s="2064" t="s">
        <v>517</v>
      </c>
      <c r="AS4" s="2065"/>
      <c r="AT4" s="2171" t="s">
        <v>518</v>
      </c>
      <c r="AU4" s="2174" t="s">
        <v>519</v>
      </c>
      <c r="AV4" s="4"/>
      <c r="AW4" s="2088" t="s">
        <v>520</v>
      </c>
      <c r="AX4" s="2088" t="s">
        <v>521</v>
      </c>
      <c r="AY4" s="2088" t="s">
        <v>522</v>
      </c>
      <c r="AZ4" s="2131" t="s">
        <v>523</v>
      </c>
      <c r="BA4" s="2088" t="s">
        <v>524</v>
      </c>
      <c r="BB4" s="2088" t="s">
        <v>525</v>
      </c>
      <c r="BC4" s="2088" t="s">
        <v>526</v>
      </c>
      <c r="BD4" s="2088" t="s">
        <v>527</v>
      </c>
      <c r="BE4" s="2088" t="s">
        <v>528</v>
      </c>
      <c r="BF4" s="2094" t="s">
        <v>529</v>
      </c>
      <c r="BG4" s="381"/>
      <c r="BH4" s="2134" t="s">
        <v>529</v>
      </c>
      <c r="BI4" s="2088" t="s">
        <v>530</v>
      </c>
      <c r="BJ4" s="2088" t="s">
        <v>529</v>
      </c>
      <c r="BK4" s="2088" t="s">
        <v>531</v>
      </c>
      <c r="BL4" s="2045" t="s">
        <v>529</v>
      </c>
      <c r="BM4" s="2168"/>
      <c r="BN4" s="2088" t="s">
        <v>531</v>
      </c>
      <c r="BO4" s="2088" t="s">
        <v>529</v>
      </c>
      <c r="BP4" s="2088" t="s">
        <v>532</v>
      </c>
      <c r="BQ4" s="2045" t="s">
        <v>529</v>
      </c>
      <c r="BR4" s="2155"/>
      <c r="BS4" s="720"/>
      <c r="BT4" s="2150" t="s">
        <v>529</v>
      </c>
      <c r="BU4" s="2147" t="s">
        <v>533</v>
      </c>
      <c r="BV4" s="721"/>
      <c r="BW4" s="2104" t="s">
        <v>534</v>
      </c>
      <c r="BX4" s="2159"/>
      <c r="BY4" s="2131"/>
      <c r="BZ4" s="2088" t="s">
        <v>535</v>
      </c>
      <c r="CA4" s="2088"/>
      <c r="CB4" s="2088"/>
      <c r="CC4" s="2045" t="s">
        <v>535</v>
      </c>
      <c r="CD4" s="2159"/>
      <c r="CE4" s="2162"/>
      <c r="CF4" s="720"/>
      <c r="CG4" s="2033"/>
      <c r="CH4" s="2116"/>
      <c r="CI4" s="2126"/>
      <c r="CJ4" s="2164"/>
      <c r="CK4" s="2115" t="s">
        <v>536</v>
      </c>
      <c r="CL4" s="2115" t="s">
        <v>537</v>
      </c>
      <c r="CM4" s="2125" t="s">
        <v>538</v>
      </c>
      <c r="CN4" s="2113"/>
      <c r="CO4" s="2122"/>
      <c r="CP4" s="2122"/>
      <c r="CQ4" s="2122"/>
      <c r="CR4" s="2031"/>
      <c r="CS4" s="374"/>
      <c r="CT4" s="999"/>
      <c r="CU4" s="2053" t="s">
        <v>539</v>
      </c>
      <c r="CV4" s="2053" t="s">
        <v>540</v>
      </c>
      <c r="CW4" s="2053" t="s">
        <v>541</v>
      </c>
      <c r="CX4" s="2053" t="s">
        <v>542</v>
      </c>
      <c r="CY4" s="2119" t="s">
        <v>543</v>
      </c>
      <c r="CZ4" s="2119" t="s">
        <v>544</v>
      </c>
      <c r="DA4" s="2118"/>
      <c r="DB4" s="2110"/>
    </row>
    <row r="5" spans="1:106" ht="14.4">
      <c r="A5" s="400"/>
      <c r="B5" s="2104" t="s">
        <v>545</v>
      </c>
      <c r="C5" s="2088" t="s">
        <v>546</v>
      </c>
      <c r="D5" s="2131" t="s">
        <v>547</v>
      </c>
      <c r="E5" s="2045" t="s">
        <v>545</v>
      </c>
      <c r="F5" s="2080"/>
      <c r="G5" s="2045" t="s">
        <v>546</v>
      </c>
      <c r="H5" s="2080"/>
      <c r="I5" s="2094" t="s">
        <v>547</v>
      </c>
      <c r="J5" s="2096" t="s">
        <v>548</v>
      </c>
      <c r="K5" s="2091" t="s">
        <v>549</v>
      </c>
      <c r="L5" s="2091" t="s">
        <v>547</v>
      </c>
      <c r="M5" s="2099" t="s">
        <v>548</v>
      </c>
      <c r="N5" s="2091" t="s">
        <v>549</v>
      </c>
      <c r="O5" s="2091" t="s">
        <v>547</v>
      </c>
      <c r="P5" s="2091" t="s">
        <v>548</v>
      </c>
      <c r="Q5" s="2091" t="s">
        <v>550</v>
      </c>
      <c r="R5" s="2091" t="s">
        <v>547</v>
      </c>
      <c r="S5" s="2091" t="s">
        <v>548</v>
      </c>
      <c r="T5" s="2091" t="s">
        <v>550</v>
      </c>
      <c r="U5" s="2062" t="s">
        <v>547</v>
      </c>
      <c r="V5" s="2104" t="s">
        <v>548</v>
      </c>
      <c r="W5" s="2088" t="s">
        <v>550</v>
      </c>
      <c r="X5" s="2088" t="s">
        <v>547</v>
      </c>
      <c r="Y5" s="2088" t="s">
        <v>548</v>
      </c>
      <c r="Z5" s="2088" t="s">
        <v>550</v>
      </c>
      <c r="AA5" s="2088" t="s">
        <v>547</v>
      </c>
      <c r="AB5" s="2088" t="s">
        <v>548</v>
      </c>
      <c r="AC5" s="2088" t="s">
        <v>550</v>
      </c>
      <c r="AD5" s="2088" t="s">
        <v>547</v>
      </c>
      <c r="AE5" s="2088" t="s">
        <v>548</v>
      </c>
      <c r="AF5" s="2088" t="s">
        <v>550</v>
      </c>
      <c r="AG5" s="2062" t="s">
        <v>547</v>
      </c>
      <c r="AH5" s="2092" t="s">
        <v>548</v>
      </c>
      <c r="AI5" s="2091" t="s">
        <v>550</v>
      </c>
      <c r="AJ5" s="2091" t="s">
        <v>547</v>
      </c>
      <c r="AK5" s="2091" t="s">
        <v>548</v>
      </c>
      <c r="AL5" s="2091" t="s">
        <v>550</v>
      </c>
      <c r="AM5" s="2062" t="s">
        <v>547</v>
      </c>
      <c r="AN5" s="2145"/>
      <c r="AO5" s="2142"/>
      <c r="AP5" s="2139"/>
      <c r="AQ5" s="2116"/>
      <c r="AR5" s="2066"/>
      <c r="AS5" s="2041"/>
      <c r="AT5" s="2172"/>
      <c r="AU5" s="2175"/>
      <c r="AV5" s="4"/>
      <c r="AW5" s="2128"/>
      <c r="AX5" s="2128"/>
      <c r="AY5" s="2128"/>
      <c r="AZ5" s="2132"/>
      <c r="BA5" s="2128"/>
      <c r="BB5" s="2128"/>
      <c r="BC5" s="2128"/>
      <c r="BD5" s="2128"/>
      <c r="BE5" s="2128"/>
      <c r="BF5" s="2177"/>
      <c r="BG5" s="381"/>
      <c r="BH5" s="2135"/>
      <c r="BI5" s="2128"/>
      <c r="BJ5" s="2128"/>
      <c r="BK5" s="2128"/>
      <c r="BL5" s="2156"/>
      <c r="BM5" s="2169"/>
      <c r="BN5" s="2089"/>
      <c r="BO5" s="2089"/>
      <c r="BP5" s="2089"/>
      <c r="BQ5" s="2156"/>
      <c r="BR5" s="2157"/>
      <c r="BS5" s="720"/>
      <c r="BT5" s="2151"/>
      <c r="BU5" s="2148"/>
      <c r="BV5" s="721"/>
      <c r="BW5" s="2105"/>
      <c r="BX5" s="2160"/>
      <c r="BY5" s="2161"/>
      <c r="BZ5" s="2090"/>
      <c r="CA5" s="2090"/>
      <c r="CB5" s="2090"/>
      <c r="CC5" s="2046"/>
      <c r="CD5" s="2160"/>
      <c r="CE5" s="2158"/>
      <c r="CF5" s="720"/>
      <c r="CG5" s="2033"/>
      <c r="CH5" s="2116"/>
      <c r="CI5" s="2165"/>
      <c r="CJ5" s="2166"/>
      <c r="CK5" s="2116"/>
      <c r="CL5" s="2116"/>
      <c r="CM5" s="2126"/>
      <c r="CN5" s="2113"/>
      <c r="CO5" s="2122"/>
      <c r="CP5" s="2122"/>
      <c r="CQ5" s="2122"/>
      <c r="CR5" s="2031"/>
      <c r="CS5" s="374"/>
      <c r="CT5" s="999"/>
      <c r="CU5" s="2118"/>
      <c r="CV5" s="2118"/>
      <c r="CW5" s="2118"/>
      <c r="CX5" s="2118"/>
      <c r="CY5" s="2120"/>
      <c r="CZ5" s="2120"/>
      <c r="DA5" s="2118"/>
      <c r="DB5" s="2110"/>
    </row>
    <row r="6" spans="1:106" ht="16.8">
      <c r="A6" s="400"/>
      <c r="B6" s="2181"/>
      <c r="C6" s="2182"/>
      <c r="D6" s="2183"/>
      <c r="E6" s="479"/>
      <c r="F6" s="96" t="s">
        <v>551</v>
      </c>
      <c r="G6" s="479"/>
      <c r="H6" s="96" t="s">
        <v>552</v>
      </c>
      <c r="I6" s="2095"/>
      <c r="J6" s="2097"/>
      <c r="K6" s="2098"/>
      <c r="L6" s="2098"/>
      <c r="M6" s="2100"/>
      <c r="N6" s="2098"/>
      <c r="O6" s="2098"/>
      <c r="P6" s="2098"/>
      <c r="Q6" s="2098"/>
      <c r="R6" s="2098"/>
      <c r="S6" s="2098"/>
      <c r="T6" s="2098"/>
      <c r="U6" s="2103"/>
      <c r="V6" s="2105"/>
      <c r="W6" s="2090"/>
      <c r="X6" s="2090" t="s">
        <v>547</v>
      </c>
      <c r="Y6" s="2090" t="s">
        <v>548</v>
      </c>
      <c r="Z6" s="2090" t="s">
        <v>550</v>
      </c>
      <c r="AA6" s="2090" t="s">
        <v>547</v>
      </c>
      <c r="AB6" s="2090" t="s">
        <v>548</v>
      </c>
      <c r="AC6" s="2090" t="s">
        <v>550</v>
      </c>
      <c r="AD6" s="2090" t="s">
        <v>547</v>
      </c>
      <c r="AE6" s="2090" t="s">
        <v>548</v>
      </c>
      <c r="AF6" s="2090" t="s">
        <v>550</v>
      </c>
      <c r="AG6" s="2101"/>
      <c r="AH6" s="2093"/>
      <c r="AI6" s="2090"/>
      <c r="AJ6" s="2090" t="s">
        <v>547</v>
      </c>
      <c r="AK6" s="2090" t="s">
        <v>548</v>
      </c>
      <c r="AL6" s="2090" t="s">
        <v>550</v>
      </c>
      <c r="AM6" s="2063" t="s">
        <v>547</v>
      </c>
      <c r="AN6" s="2146"/>
      <c r="AO6" s="2143"/>
      <c r="AP6" s="2140"/>
      <c r="AQ6" s="2170"/>
      <c r="AR6" s="491"/>
      <c r="AS6" s="492" t="s">
        <v>553</v>
      </c>
      <c r="AT6" s="2173"/>
      <c r="AU6" s="2176"/>
      <c r="AV6" s="286"/>
      <c r="AW6" s="2129"/>
      <c r="AX6" s="2129"/>
      <c r="AY6" s="2129"/>
      <c r="AZ6" s="2133"/>
      <c r="BA6" s="2129"/>
      <c r="BB6" s="2129"/>
      <c r="BC6" s="2129"/>
      <c r="BD6" s="2129"/>
      <c r="BE6" s="2129"/>
      <c r="BF6" s="2178"/>
      <c r="BG6" s="381"/>
      <c r="BH6" s="2136"/>
      <c r="BI6" s="2129"/>
      <c r="BJ6" s="2129"/>
      <c r="BK6" s="2129"/>
      <c r="BL6" s="2046"/>
      <c r="BM6" s="2161"/>
      <c r="BN6" s="2090"/>
      <c r="BO6" s="2090"/>
      <c r="BP6" s="2090"/>
      <c r="BQ6" s="2046"/>
      <c r="BR6" s="2158"/>
      <c r="BS6" s="720"/>
      <c r="BT6" s="2152"/>
      <c r="BU6" s="2149"/>
      <c r="BV6" s="721"/>
      <c r="BW6" s="414" t="s">
        <v>355</v>
      </c>
      <c r="BX6" s="406" t="s">
        <v>350</v>
      </c>
      <c r="BY6" s="480" t="s">
        <v>554</v>
      </c>
      <c r="BZ6" s="406" t="s">
        <v>355</v>
      </c>
      <c r="CA6" s="406" t="s">
        <v>350</v>
      </c>
      <c r="CB6" s="406" t="s">
        <v>554</v>
      </c>
      <c r="CC6" s="406" t="s">
        <v>355</v>
      </c>
      <c r="CD6" s="406" t="s">
        <v>350</v>
      </c>
      <c r="CE6" s="481" t="s">
        <v>554</v>
      </c>
      <c r="CF6" s="720"/>
      <c r="CG6" s="2112"/>
      <c r="CH6" s="2117"/>
      <c r="CI6" s="4"/>
      <c r="CJ6" s="97" t="s">
        <v>555</v>
      </c>
      <c r="CK6" s="2117"/>
      <c r="CL6" s="2117"/>
      <c r="CM6" s="2127"/>
      <c r="CN6" s="2114"/>
      <c r="CO6" s="2123"/>
      <c r="CP6" s="2123"/>
      <c r="CQ6" s="2123"/>
      <c r="CR6" s="2124"/>
      <c r="CS6" s="374"/>
      <c r="CT6" s="1006"/>
      <c r="CU6" s="1941"/>
      <c r="CV6" s="1941"/>
      <c r="CW6" s="1941"/>
      <c r="CX6" s="1941"/>
      <c r="CY6" s="2121"/>
      <c r="CZ6" s="2121"/>
      <c r="DA6" s="1941"/>
      <c r="DB6" s="2111"/>
    </row>
    <row r="7" spans="1:106" ht="17.25" customHeight="1">
      <c r="A7" s="71" t="s">
        <v>556</v>
      </c>
      <c r="B7" s="41" t="s">
        <v>557</v>
      </c>
      <c r="C7" s="41" t="s">
        <v>357</v>
      </c>
      <c r="D7" s="38" t="s">
        <v>357</v>
      </c>
      <c r="E7" s="41" t="s">
        <v>557</v>
      </c>
      <c r="F7" s="41" t="s">
        <v>557</v>
      </c>
      <c r="G7" s="41" t="s">
        <v>357</v>
      </c>
      <c r="H7" s="41" t="s">
        <v>357</v>
      </c>
      <c r="I7" s="66" t="s">
        <v>357</v>
      </c>
      <c r="J7" s="44" t="s">
        <v>558</v>
      </c>
      <c r="K7" s="41" t="s">
        <v>357</v>
      </c>
      <c r="L7" s="48" t="s">
        <v>357</v>
      </c>
      <c r="M7" s="38" t="s">
        <v>558</v>
      </c>
      <c r="N7" s="41" t="s">
        <v>357</v>
      </c>
      <c r="O7" s="41" t="s">
        <v>357</v>
      </c>
      <c r="P7" s="38" t="s">
        <v>558</v>
      </c>
      <c r="Q7" s="41" t="s">
        <v>357</v>
      </c>
      <c r="R7" s="38" t="s">
        <v>357</v>
      </c>
      <c r="S7" s="38" t="s">
        <v>558</v>
      </c>
      <c r="T7" s="38" t="s">
        <v>357</v>
      </c>
      <c r="U7" s="39" t="s">
        <v>357</v>
      </c>
      <c r="V7" s="41" t="s">
        <v>558</v>
      </c>
      <c r="W7" s="38" t="s">
        <v>357</v>
      </c>
      <c r="X7" s="48" t="s">
        <v>357</v>
      </c>
      <c r="Y7" s="38" t="s">
        <v>558</v>
      </c>
      <c r="Z7" s="38" t="s">
        <v>357</v>
      </c>
      <c r="AA7" s="48" t="s">
        <v>357</v>
      </c>
      <c r="AB7" s="38" t="s">
        <v>558</v>
      </c>
      <c r="AC7" s="38" t="s">
        <v>357</v>
      </c>
      <c r="AD7" s="48" t="s">
        <v>357</v>
      </c>
      <c r="AE7" s="38" t="s">
        <v>558</v>
      </c>
      <c r="AF7" s="38" t="s">
        <v>357</v>
      </c>
      <c r="AG7" s="39" t="s">
        <v>357</v>
      </c>
      <c r="AH7" s="44" t="s">
        <v>558</v>
      </c>
      <c r="AI7" s="38" t="s">
        <v>357</v>
      </c>
      <c r="AJ7" s="38" t="s">
        <v>357</v>
      </c>
      <c r="AK7" s="38" t="s">
        <v>558</v>
      </c>
      <c r="AL7" s="38" t="s">
        <v>357</v>
      </c>
      <c r="AM7" s="39" t="s">
        <v>357</v>
      </c>
      <c r="AN7" s="41" t="s">
        <v>558</v>
      </c>
      <c r="AO7" s="38" t="s">
        <v>558</v>
      </c>
      <c r="AP7" s="38" t="s">
        <v>146</v>
      </c>
      <c r="AQ7" s="48" t="s">
        <v>559</v>
      </c>
      <c r="AR7" s="493" t="s">
        <v>560</v>
      </c>
      <c r="AS7" s="493" t="s">
        <v>560</v>
      </c>
      <c r="AT7" s="493" t="s">
        <v>560</v>
      </c>
      <c r="AU7" s="494" t="s">
        <v>561</v>
      </c>
      <c r="AV7" s="41" t="s">
        <v>146</v>
      </c>
      <c r="AW7" s="38" t="s">
        <v>146</v>
      </c>
      <c r="AX7" s="38" t="s">
        <v>146</v>
      </c>
      <c r="AY7" s="38" t="s">
        <v>146</v>
      </c>
      <c r="AZ7" s="41" t="s">
        <v>146</v>
      </c>
      <c r="BA7" s="38" t="s">
        <v>146</v>
      </c>
      <c r="BB7" s="38" t="s">
        <v>146</v>
      </c>
      <c r="BC7" s="38" t="s">
        <v>146</v>
      </c>
      <c r="BD7" s="38" t="s">
        <v>146</v>
      </c>
      <c r="BE7" s="38" t="s">
        <v>146</v>
      </c>
      <c r="BF7" s="39" t="s">
        <v>559</v>
      </c>
      <c r="BG7" s="375"/>
      <c r="BH7" s="44" t="s">
        <v>559</v>
      </c>
      <c r="BI7" s="38" t="s">
        <v>469</v>
      </c>
      <c r="BJ7" s="38" t="s">
        <v>146</v>
      </c>
      <c r="BK7" s="38" t="s">
        <v>469</v>
      </c>
      <c r="BL7" s="41" t="s">
        <v>146</v>
      </c>
      <c r="BM7" s="38" t="s">
        <v>562</v>
      </c>
      <c r="BN7" s="38" t="s">
        <v>469</v>
      </c>
      <c r="BO7" s="38" t="s">
        <v>146</v>
      </c>
      <c r="BP7" s="38" t="s">
        <v>469</v>
      </c>
      <c r="BQ7" s="38" t="s">
        <v>146</v>
      </c>
      <c r="BR7" s="39" t="s">
        <v>562</v>
      </c>
      <c r="BS7" s="375"/>
      <c r="BT7" s="67" t="s">
        <v>563</v>
      </c>
      <c r="BU7" s="68" t="s">
        <v>357</v>
      </c>
      <c r="BV7" s="722"/>
      <c r="BW7" s="44" t="s">
        <v>146</v>
      </c>
      <c r="BX7" s="38" t="s">
        <v>357</v>
      </c>
      <c r="BY7" s="48" t="s">
        <v>357</v>
      </c>
      <c r="BZ7" s="38" t="s">
        <v>146</v>
      </c>
      <c r="CA7" s="38" t="s">
        <v>357</v>
      </c>
      <c r="CB7" s="38" t="s">
        <v>357</v>
      </c>
      <c r="CC7" s="38" t="s">
        <v>146</v>
      </c>
      <c r="CD7" s="38" t="s">
        <v>357</v>
      </c>
      <c r="CE7" s="39" t="s">
        <v>357</v>
      </c>
      <c r="CF7" s="375"/>
      <c r="CG7" s="44" t="s">
        <v>135</v>
      </c>
      <c r="CH7" s="38" t="s">
        <v>564</v>
      </c>
      <c r="CI7" s="38" t="s">
        <v>564</v>
      </c>
      <c r="CJ7" s="38" t="s">
        <v>564</v>
      </c>
      <c r="CK7" s="38" t="s">
        <v>146</v>
      </c>
      <c r="CL7" s="38" t="s">
        <v>146</v>
      </c>
      <c r="CM7" s="48" t="s">
        <v>146</v>
      </c>
      <c r="CN7" s="38" t="s">
        <v>565</v>
      </c>
      <c r="CO7" s="48" t="s">
        <v>565</v>
      </c>
      <c r="CP7" s="48" t="s">
        <v>565</v>
      </c>
      <c r="CQ7" s="48" t="s">
        <v>566</v>
      </c>
      <c r="CR7" s="39" t="s">
        <v>566</v>
      </c>
      <c r="CS7" s="375"/>
      <c r="CT7" s="857" t="s">
        <v>146</v>
      </c>
      <c r="CU7" s="1015" t="s">
        <v>146</v>
      </c>
      <c r="CV7" s="1015" t="s">
        <v>146</v>
      </c>
      <c r="CW7" s="1015" t="s">
        <v>146</v>
      </c>
      <c r="CX7" s="1015" t="s">
        <v>146</v>
      </c>
      <c r="CY7" s="1015" t="s">
        <v>146</v>
      </c>
      <c r="CZ7" s="1015" t="s">
        <v>146</v>
      </c>
      <c r="DA7" s="493" t="s">
        <v>469</v>
      </c>
      <c r="DB7" s="855" t="s">
        <v>469</v>
      </c>
    </row>
    <row r="8" spans="1:106" ht="15.75" customHeight="1">
      <c r="A8" s="236" t="s">
        <v>147</v>
      </c>
      <c r="B8" s="153">
        <v>1</v>
      </c>
      <c r="C8" s="153">
        <v>11</v>
      </c>
      <c r="D8" s="153">
        <v>5</v>
      </c>
      <c r="E8" s="153">
        <v>11</v>
      </c>
      <c r="F8" s="153">
        <v>3</v>
      </c>
      <c r="G8" s="153">
        <v>995</v>
      </c>
      <c r="H8" s="153">
        <v>236</v>
      </c>
      <c r="I8" s="147">
        <v>165</v>
      </c>
      <c r="J8" s="140">
        <v>38</v>
      </c>
      <c r="K8" s="142">
        <v>9185</v>
      </c>
      <c r="L8" s="180">
        <v>830</v>
      </c>
      <c r="M8" s="142">
        <v>2</v>
      </c>
      <c r="N8" s="141">
        <v>447</v>
      </c>
      <c r="O8" s="141">
        <v>24</v>
      </c>
      <c r="P8" s="159">
        <v>19</v>
      </c>
      <c r="Q8" s="141">
        <v>4690</v>
      </c>
      <c r="R8" s="141">
        <v>463</v>
      </c>
      <c r="S8" s="141">
        <v>4</v>
      </c>
      <c r="T8" s="141">
        <v>736</v>
      </c>
      <c r="U8" s="1712">
        <v>54</v>
      </c>
      <c r="V8" s="285">
        <v>1</v>
      </c>
      <c r="W8" s="1713">
        <v>71</v>
      </c>
      <c r="X8" s="159">
        <v>24</v>
      </c>
      <c r="Y8" s="142" t="s">
        <v>153</v>
      </c>
      <c r="Z8" s="1713" t="s">
        <v>153</v>
      </c>
      <c r="AA8" s="159" t="s">
        <v>153</v>
      </c>
      <c r="AB8" s="142">
        <v>1</v>
      </c>
      <c r="AC8" s="1713">
        <v>705</v>
      </c>
      <c r="AD8" s="159">
        <v>64</v>
      </c>
      <c r="AE8" s="141">
        <v>13</v>
      </c>
      <c r="AF8" s="141">
        <v>5406</v>
      </c>
      <c r="AG8" s="1712">
        <v>528</v>
      </c>
      <c r="AH8" s="158" t="s">
        <v>153</v>
      </c>
      <c r="AI8" s="141" t="s">
        <v>153</v>
      </c>
      <c r="AJ8" s="141" t="s">
        <v>153</v>
      </c>
      <c r="AK8" s="195" t="s">
        <v>567</v>
      </c>
      <c r="AL8" s="141">
        <v>168</v>
      </c>
      <c r="AM8" s="1712">
        <v>38</v>
      </c>
      <c r="AN8" s="285" t="s">
        <v>153</v>
      </c>
      <c r="AO8" s="141" t="s">
        <v>153</v>
      </c>
      <c r="AP8" s="1713">
        <v>5</v>
      </c>
      <c r="AQ8" s="159">
        <v>6</v>
      </c>
      <c r="AR8" s="142">
        <v>896985</v>
      </c>
      <c r="AS8" s="475">
        <v>369.9</v>
      </c>
      <c r="AT8" s="141">
        <v>1021915</v>
      </c>
      <c r="AU8" s="246" t="s">
        <v>153</v>
      </c>
      <c r="AV8" s="285">
        <v>13</v>
      </c>
      <c r="AW8" s="141">
        <v>1</v>
      </c>
      <c r="AX8" s="141" t="s">
        <v>153</v>
      </c>
      <c r="AY8" s="1713">
        <v>11</v>
      </c>
      <c r="AZ8" s="142">
        <v>1</v>
      </c>
      <c r="BA8" s="141" t="s">
        <v>153</v>
      </c>
      <c r="BB8" s="141" t="s">
        <v>153</v>
      </c>
      <c r="BC8" s="141" t="s">
        <v>153</v>
      </c>
      <c r="BD8" s="141" t="s">
        <v>153</v>
      </c>
      <c r="BE8" s="141" t="s">
        <v>153</v>
      </c>
      <c r="BF8" s="1712">
        <v>1</v>
      </c>
      <c r="BG8" s="35"/>
      <c r="BH8" s="158">
        <v>3</v>
      </c>
      <c r="BI8" s="142">
        <v>19561</v>
      </c>
      <c r="BJ8" s="142">
        <v>1</v>
      </c>
      <c r="BK8" s="159">
        <v>31200</v>
      </c>
      <c r="BL8" s="142">
        <v>5</v>
      </c>
      <c r="BM8" s="141">
        <v>5</v>
      </c>
      <c r="BN8" s="141">
        <v>81690</v>
      </c>
      <c r="BO8" s="141">
        <v>2</v>
      </c>
      <c r="BP8" s="141">
        <v>1973</v>
      </c>
      <c r="BQ8" s="141">
        <v>5</v>
      </c>
      <c r="BR8" s="1712">
        <v>29</v>
      </c>
      <c r="BS8" s="35"/>
      <c r="BT8" s="160">
        <v>2</v>
      </c>
      <c r="BU8" s="161">
        <v>2212</v>
      </c>
      <c r="BV8" s="723"/>
      <c r="BW8" s="158" t="s">
        <v>148</v>
      </c>
      <c r="BX8" s="141" t="s">
        <v>148</v>
      </c>
      <c r="BY8" s="141" t="s">
        <v>148</v>
      </c>
      <c r="BZ8" s="153">
        <v>68</v>
      </c>
      <c r="CA8" s="141">
        <v>2901</v>
      </c>
      <c r="CB8" s="141">
        <v>2752</v>
      </c>
      <c r="CC8" s="153">
        <v>1</v>
      </c>
      <c r="CD8" s="141">
        <v>20</v>
      </c>
      <c r="CE8" s="1712">
        <v>4</v>
      </c>
      <c r="CF8" s="35"/>
      <c r="CG8" s="140">
        <v>391</v>
      </c>
      <c r="CH8" s="142">
        <v>69</v>
      </c>
      <c r="CI8" s="142">
        <v>15</v>
      </c>
      <c r="CJ8" s="142">
        <v>14</v>
      </c>
      <c r="CK8" s="142">
        <v>2</v>
      </c>
      <c r="CL8" s="159">
        <v>3</v>
      </c>
      <c r="CM8" s="159">
        <v>6</v>
      </c>
      <c r="CN8" s="142">
        <v>60</v>
      </c>
      <c r="CO8" s="159">
        <v>17643</v>
      </c>
      <c r="CP8" s="159">
        <v>255</v>
      </c>
      <c r="CQ8" s="1399">
        <v>237</v>
      </c>
      <c r="CR8" s="152">
        <v>87</v>
      </c>
      <c r="CS8" s="35"/>
      <c r="CT8" s="576">
        <v>562</v>
      </c>
      <c r="CU8" s="1538">
        <v>23</v>
      </c>
      <c r="CV8" s="1538">
        <v>2</v>
      </c>
      <c r="CW8" s="1538">
        <v>471</v>
      </c>
      <c r="CX8" s="1538">
        <v>57</v>
      </c>
      <c r="CY8" s="1714">
        <v>9</v>
      </c>
      <c r="CZ8" s="1714" t="s">
        <v>153</v>
      </c>
      <c r="DA8" s="1210">
        <v>1072481.96</v>
      </c>
      <c r="DB8" s="859">
        <v>62994.77</v>
      </c>
    </row>
    <row r="9" spans="1:106" ht="15.75" customHeight="1">
      <c r="A9" s="320" t="s">
        <v>149</v>
      </c>
      <c r="B9" s="606" t="s">
        <v>148</v>
      </c>
      <c r="C9" s="606" t="s">
        <v>148</v>
      </c>
      <c r="D9" s="606" t="s">
        <v>148</v>
      </c>
      <c r="E9" s="606">
        <v>26</v>
      </c>
      <c r="F9" s="1394">
        <v>19</v>
      </c>
      <c r="G9" s="606">
        <v>2055</v>
      </c>
      <c r="H9" s="1394">
        <v>1331</v>
      </c>
      <c r="I9" s="568">
        <v>333</v>
      </c>
      <c r="J9" s="501">
        <v>52</v>
      </c>
      <c r="K9" s="530">
        <v>13882</v>
      </c>
      <c r="L9" s="1715">
        <v>1480</v>
      </c>
      <c r="M9" s="530">
        <v>1</v>
      </c>
      <c r="N9" s="530">
        <v>398</v>
      </c>
      <c r="O9" s="530">
        <v>19</v>
      </c>
      <c r="P9" s="1715">
        <v>26</v>
      </c>
      <c r="Q9" s="530">
        <v>7312</v>
      </c>
      <c r="R9" s="530">
        <v>732</v>
      </c>
      <c r="S9" s="530">
        <v>1</v>
      </c>
      <c r="T9" s="530">
        <v>313</v>
      </c>
      <c r="U9" s="1716">
        <v>19</v>
      </c>
      <c r="V9" s="606" t="s">
        <v>148</v>
      </c>
      <c r="W9" s="1715" t="s">
        <v>148</v>
      </c>
      <c r="X9" s="1715" t="s">
        <v>148</v>
      </c>
      <c r="Y9" s="530" t="s">
        <v>148</v>
      </c>
      <c r="Z9" s="1715" t="s">
        <v>148</v>
      </c>
      <c r="AA9" s="1715" t="s">
        <v>148</v>
      </c>
      <c r="AB9" s="530" t="s">
        <v>148</v>
      </c>
      <c r="AC9" s="1715" t="s">
        <v>148</v>
      </c>
      <c r="AD9" s="1715" t="s">
        <v>148</v>
      </c>
      <c r="AE9" s="530">
        <v>13</v>
      </c>
      <c r="AF9" s="530">
        <v>8341</v>
      </c>
      <c r="AG9" s="1716">
        <v>747</v>
      </c>
      <c r="AH9" s="501" t="s">
        <v>148</v>
      </c>
      <c r="AI9" s="530" t="s">
        <v>148</v>
      </c>
      <c r="AJ9" s="530" t="s">
        <v>148</v>
      </c>
      <c r="AK9" s="530">
        <v>4</v>
      </c>
      <c r="AL9" s="530">
        <v>165</v>
      </c>
      <c r="AM9" s="1716">
        <v>60</v>
      </c>
      <c r="AN9" s="606">
        <v>1</v>
      </c>
      <c r="AO9" s="530">
        <v>1</v>
      </c>
      <c r="AP9" s="1715">
        <v>4</v>
      </c>
      <c r="AQ9" s="1715">
        <v>5</v>
      </c>
      <c r="AR9" s="530">
        <v>1377139</v>
      </c>
      <c r="AS9" s="569">
        <v>427</v>
      </c>
      <c r="AT9" s="530">
        <v>1767467</v>
      </c>
      <c r="AU9" s="568">
        <v>9905</v>
      </c>
      <c r="AV9" s="567">
        <v>10</v>
      </c>
      <c r="AW9" s="565">
        <v>1</v>
      </c>
      <c r="AX9" s="565">
        <v>1</v>
      </c>
      <c r="AY9" s="1717">
        <v>3</v>
      </c>
      <c r="AZ9" s="565">
        <v>3</v>
      </c>
      <c r="BA9" s="565">
        <v>1</v>
      </c>
      <c r="BB9" s="565">
        <v>1</v>
      </c>
      <c r="BC9" s="565" t="s">
        <v>148</v>
      </c>
      <c r="BD9" s="565" t="s">
        <v>148</v>
      </c>
      <c r="BE9" s="565" t="s">
        <v>148</v>
      </c>
      <c r="BF9" s="1716">
        <v>24</v>
      </c>
      <c r="BG9" s="532"/>
      <c r="BH9" s="501">
        <v>7</v>
      </c>
      <c r="BI9" s="530">
        <v>27092</v>
      </c>
      <c r="BJ9" s="530">
        <v>1</v>
      </c>
      <c r="BK9" s="1715">
        <v>34000</v>
      </c>
      <c r="BL9" s="530">
        <v>3</v>
      </c>
      <c r="BM9" s="530">
        <v>7</v>
      </c>
      <c r="BN9" s="530">
        <v>97774</v>
      </c>
      <c r="BO9" s="530">
        <v>6</v>
      </c>
      <c r="BP9" s="530">
        <v>3619</v>
      </c>
      <c r="BQ9" s="530">
        <v>5</v>
      </c>
      <c r="BR9" s="1716">
        <v>42</v>
      </c>
      <c r="BS9" s="532"/>
      <c r="BT9" s="608">
        <v>3</v>
      </c>
      <c r="BU9" s="609">
        <v>1546</v>
      </c>
      <c r="BV9" s="724"/>
      <c r="BW9" s="507" t="s">
        <v>153</v>
      </c>
      <c r="BX9" s="565" t="s">
        <v>153</v>
      </c>
      <c r="BY9" s="565" t="s">
        <v>153</v>
      </c>
      <c r="BZ9" s="606">
        <v>82</v>
      </c>
      <c r="CA9" s="530">
        <v>3232</v>
      </c>
      <c r="CB9" s="530">
        <v>2863</v>
      </c>
      <c r="CC9" s="606">
        <v>17</v>
      </c>
      <c r="CD9" s="530">
        <v>543</v>
      </c>
      <c r="CE9" s="1424">
        <v>550</v>
      </c>
      <c r="CF9" s="532"/>
      <c r="CG9" s="501">
        <v>404</v>
      </c>
      <c r="CH9" s="601">
        <v>55</v>
      </c>
      <c r="CI9" s="530">
        <v>19</v>
      </c>
      <c r="CJ9" s="601">
        <v>17</v>
      </c>
      <c r="CK9" s="530">
        <v>4</v>
      </c>
      <c r="CL9" s="1715" t="s">
        <v>148</v>
      </c>
      <c r="CM9" s="1715">
        <v>10</v>
      </c>
      <c r="CN9" s="530">
        <v>79</v>
      </c>
      <c r="CO9" s="1715">
        <v>19049</v>
      </c>
      <c r="CP9" s="1715">
        <v>286</v>
      </c>
      <c r="CQ9" s="1545">
        <v>80</v>
      </c>
      <c r="CR9" s="1546">
        <v>136</v>
      </c>
      <c r="CS9" s="532"/>
      <c r="CT9" s="604">
        <v>544</v>
      </c>
      <c r="CU9" s="1545">
        <v>10</v>
      </c>
      <c r="CV9" s="1545">
        <v>5</v>
      </c>
      <c r="CW9" s="1545">
        <v>485</v>
      </c>
      <c r="CX9" s="1545">
        <v>21</v>
      </c>
      <c r="CY9" s="1718">
        <v>23</v>
      </c>
      <c r="CZ9" s="1719" t="s">
        <v>153</v>
      </c>
      <c r="DA9" s="600">
        <v>1174607</v>
      </c>
      <c r="DB9" s="1546">
        <v>16465</v>
      </c>
    </row>
    <row r="10" spans="1:106" ht="15.75" customHeight="1">
      <c r="A10" s="236" t="s">
        <v>150</v>
      </c>
      <c r="B10" s="245" t="s">
        <v>148</v>
      </c>
      <c r="C10" s="245" t="s">
        <v>148</v>
      </c>
      <c r="D10" s="245" t="s">
        <v>148</v>
      </c>
      <c r="E10" s="245">
        <v>12</v>
      </c>
      <c r="F10" s="245">
        <v>12</v>
      </c>
      <c r="G10" s="245">
        <v>422</v>
      </c>
      <c r="H10" s="245">
        <v>422</v>
      </c>
      <c r="I10" s="246">
        <v>86</v>
      </c>
      <c r="J10" s="238">
        <v>42</v>
      </c>
      <c r="K10" s="241">
        <v>11695</v>
      </c>
      <c r="L10" s="1720">
        <v>967</v>
      </c>
      <c r="M10" s="241">
        <v>0</v>
      </c>
      <c r="N10" s="241">
        <v>0</v>
      </c>
      <c r="O10" s="241">
        <v>0</v>
      </c>
      <c r="P10" s="1720">
        <v>19</v>
      </c>
      <c r="Q10" s="241">
        <v>6348</v>
      </c>
      <c r="R10" s="241">
        <v>550</v>
      </c>
      <c r="S10" s="241">
        <v>2</v>
      </c>
      <c r="T10" s="241">
        <v>292</v>
      </c>
      <c r="U10" s="1721">
        <v>117</v>
      </c>
      <c r="V10" s="245" t="s">
        <v>153</v>
      </c>
      <c r="W10" s="1720" t="s">
        <v>153</v>
      </c>
      <c r="X10" s="1720" t="s">
        <v>153</v>
      </c>
      <c r="Y10" s="241" t="s">
        <v>153</v>
      </c>
      <c r="Z10" s="1720" t="s">
        <v>153</v>
      </c>
      <c r="AA10" s="1720" t="s">
        <v>153</v>
      </c>
      <c r="AB10" s="241" t="s">
        <v>153</v>
      </c>
      <c r="AC10" s="1720" t="s">
        <v>153</v>
      </c>
      <c r="AD10" s="1720" t="s">
        <v>153</v>
      </c>
      <c r="AE10" s="241">
        <v>12</v>
      </c>
      <c r="AF10" s="241">
        <v>7290</v>
      </c>
      <c r="AG10" s="1721">
        <v>570</v>
      </c>
      <c r="AH10" s="238" t="s">
        <v>153</v>
      </c>
      <c r="AI10" s="241" t="s">
        <v>153</v>
      </c>
      <c r="AJ10" s="241" t="s">
        <v>153</v>
      </c>
      <c r="AK10" s="241">
        <v>5</v>
      </c>
      <c r="AL10" s="241">
        <v>730</v>
      </c>
      <c r="AM10" s="1721">
        <v>73</v>
      </c>
      <c r="AN10" s="245" t="s">
        <v>148</v>
      </c>
      <c r="AO10" s="241">
        <v>1</v>
      </c>
      <c r="AP10" s="1720">
        <v>8</v>
      </c>
      <c r="AQ10" s="1720">
        <v>1</v>
      </c>
      <c r="AR10" s="241">
        <v>1049142</v>
      </c>
      <c r="AS10" s="476">
        <v>389.87700000000001</v>
      </c>
      <c r="AT10" s="241">
        <v>1001315</v>
      </c>
      <c r="AU10" s="246" t="s">
        <v>148</v>
      </c>
      <c r="AV10" s="245">
        <v>12</v>
      </c>
      <c r="AW10" s="241">
        <v>1</v>
      </c>
      <c r="AX10" s="241" t="s">
        <v>153</v>
      </c>
      <c r="AY10" s="1720">
        <v>6</v>
      </c>
      <c r="AZ10" s="241">
        <v>3</v>
      </c>
      <c r="BA10" s="241" t="s">
        <v>153</v>
      </c>
      <c r="BB10" s="241" t="s">
        <v>153</v>
      </c>
      <c r="BC10" s="241">
        <v>1</v>
      </c>
      <c r="BD10" s="241" t="s">
        <v>153</v>
      </c>
      <c r="BE10" s="241">
        <v>1</v>
      </c>
      <c r="BF10" s="1721">
        <f>36+6</f>
        <v>42</v>
      </c>
      <c r="BG10" s="35"/>
      <c r="BH10" s="238">
        <f>3+1</f>
        <v>4</v>
      </c>
      <c r="BI10" s="241">
        <f>22076+3333</f>
        <v>25409</v>
      </c>
      <c r="BJ10" s="241">
        <v>1</v>
      </c>
      <c r="BK10" s="1720">
        <v>17000</v>
      </c>
      <c r="BL10" s="241">
        <f>2+1</f>
        <v>3</v>
      </c>
      <c r="BM10" s="241">
        <f>4+1</f>
        <v>5</v>
      </c>
      <c r="BN10" s="241">
        <f>48560+11000</f>
        <v>59560</v>
      </c>
      <c r="BO10" s="241">
        <f>3+1</f>
        <v>4</v>
      </c>
      <c r="BP10" s="241">
        <f>1703+603</f>
        <v>2306</v>
      </c>
      <c r="BQ10" s="241">
        <f>1+2+1</f>
        <v>4</v>
      </c>
      <c r="BR10" s="1721">
        <f>1+16+4</f>
        <v>21</v>
      </c>
      <c r="BS10" s="35"/>
      <c r="BT10" s="247">
        <f>2+2</f>
        <v>4</v>
      </c>
      <c r="BU10" s="248">
        <v>3020</v>
      </c>
      <c r="BV10" s="723"/>
      <c r="BW10" s="238">
        <v>49</v>
      </c>
      <c r="BX10" s="241">
        <v>3187</v>
      </c>
      <c r="BY10" s="241">
        <v>3277</v>
      </c>
      <c r="BZ10" s="245">
        <v>2</v>
      </c>
      <c r="CA10" s="241">
        <v>109</v>
      </c>
      <c r="CB10" s="241">
        <v>64</v>
      </c>
      <c r="CC10" s="245" t="s">
        <v>148</v>
      </c>
      <c r="CD10" s="241" t="s">
        <v>148</v>
      </c>
      <c r="CE10" s="1721" t="s">
        <v>148</v>
      </c>
      <c r="CF10" s="35"/>
      <c r="CG10" s="238">
        <v>414</v>
      </c>
      <c r="CH10" s="241">
        <v>64</v>
      </c>
      <c r="CI10" s="241">
        <v>16</v>
      </c>
      <c r="CJ10" s="241">
        <v>16</v>
      </c>
      <c r="CK10" s="241">
        <v>3</v>
      </c>
      <c r="CL10" s="1720">
        <v>8</v>
      </c>
      <c r="CM10" s="1720" t="s">
        <v>148</v>
      </c>
      <c r="CN10" s="241">
        <v>92</v>
      </c>
      <c r="CO10" s="1720">
        <v>11373</v>
      </c>
      <c r="CP10" s="1720">
        <v>256</v>
      </c>
      <c r="CQ10" s="1539">
        <v>292</v>
      </c>
      <c r="CR10" s="1721">
        <v>195</v>
      </c>
      <c r="CS10" s="35"/>
      <c r="CT10" s="554">
        <v>168</v>
      </c>
      <c r="CU10" s="1539">
        <v>25</v>
      </c>
      <c r="CV10" s="1539">
        <v>17</v>
      </c>
      <c r="CW10" s="1539">
        <v>66</v>
      </c>
      <c r="CX10" s="1539">
        <v>33</v>
      </c>
      <c r="CY10" s="1722">
        <v>27</v>
      </c>
      <c r="CZ10" s="1722" t="s">
        <v>148</v>
      </c>
      <c r="DA10" s="555">
        <v>1105057</v>
      </c>
      <c r="DB10" s="1431">
        <v>50444</v>
      </c>
    </row>
    <row r="11" spans="1:106" ht="15.75" customHeight="1">
      <c r="A11" s="320" t="s">
        <v>152</v>
      </c>
      <c r="B11" s="113" t="s">
        <v>153</v>
      </c>
      <c r="C11" s="113" t="s">
        <v>153</v>
      </c>
      <c r="D11" s="113" t="s">
        <v>153</v>
      </c>
      <c r="E11" s="113">
        <v>13</v>
      </c>
      <c r="F11" s="113">
        <v>11</v>
      </c>
      <c r="G11" s="113">
        <v>620</v>
      </c>
      <c r="H11" s="113">
        <v>410</v>
      </c>
      <c r="I11" s="119">
        <v>89</v>
      </c>
      <c r="J11" s="103">
        <v>42</v>
      </c>
      <c r="K11" s="105">
        <v>10530</v>
      </c>
      <c r="L11" s="1723">
        <v>749</v>
      </c>
      <c r="M11" s="105" t="s">
        <v>153</v>
      </c>
      <c r="N11" s="105" t="s">
        <v>153</v>
      </c>
      <c r="O11" s="105" t="s">
        <v>153</v>
      </c>
      <c r="P11" s="1723">
        <v>24</v>
      </c>
      <c r="Q11" s="105">
        <v>5444</v>
      </c>
      <c r="R11" s="105">
        <v>482</v>
      </c>
      <c r="S11" s="105">
        <v>2</v>
      </c>
      <c r="T11" s="105">
        <v>162</v>
      </c>
      <c r="U11" s="1724">
        <v>16</v>
      </c>
      <c r="V11" s="113" t="s">
        <v>153</v>
      </c>
      <c r="W11" s="1723" t="s">
        <v>153</v>
      </c>
      <c r="X11" s="1723" t="s">
        <v>153</v>
      </c>
      <c r="Y11" s="105" t="s">
        <v>153</v>
      </c>
      <c r="Z11" s="1723" t="s">
        <v>153</v>
      </c>
      <c r="AA11" s="1723" t="s">
        <v>153</v>
      </c>
      <c r="AB11" s="105" t="s">
        <v>153</v>
      </c>
      <c r="AC11" s="1723" t="s">
        <v>153</v>
      </c>
      <c r="AD11" s="1723" t="s">
        <v>153</v>
      </c>
      <c r="AE11" s="105">
        <v>13</v>
      </c>
      <c r="AF11" s="105">
        <v>6973</v>
      </c>
      <c r="AG11" s="1724">
        <v>567</v>
      </c>
      <c r="AH11" s="103" t="s">
        <v>153</v>
      </c>
      <c r="AI11" s="105" t="s">
        <v>153</v>
      </c>
      <c r="AJ11" s="105" t="s">
        <v>153</v>
      </c>
      <c r="AK11" s="105">
        <v>3</v>
      </c>
      <c r="AL11" s="105">
        <v>661</v>
      </c>
      <c r="AM11" s="1725">
        <v>59</v>
      </c>
      <c r="AN11" s="79" t="s">
        <v>153</v>
      </c>
      <c r="AO11" s="76" t="s">
        <v>153</v>
      </c>
      <c r="AP11" s="1726">
        <v>5</v>
      </c>
      <c r="AQ11" s="1726">
        <v>3</v>
      </c>
      <c r="AR11" s="76">
        <v>519008</v>
      </c>
      <c r="AS11" s="473">
        <v>236.2</v>
      </c>
      <c r="AT11" s="76">
        <v>782759</v>
      </c>
      <c r="AU11" s="184" t="s">
        <v>153</v>
      </c>
      <c r="AV11" s="79">
        <v>2</v>
      </c>
      <c r="AW11" s="76" t="s">
        <v>153</v>
      </c>
      <c r="AX11" s="76" t="s">
        <v>153</v>
      </c>
      <c r="AY11" s="1726">
        <v>1</v>
      </c>
      <c r="AZ11" s="76">
        <v>1</v>
      </c>
      <c r="BA11" s="76" t="s">
        <v>153</v>
      </c>
      <c r="BB11" s="76" t="s">
        <v>153</v>
      </c>
      <c r="BC11" s="76" t="s">
        <v>153</v>
      </c>
      <c r="BD11" s="76" t="s">
        <v>153</v>
      </c>
      <c r="BE11" s="76" t="s">
        <v>153</v>
      </c>
      <c r="BF11" s="1725">
        <v>28</v>
      </c>
      <c r="BG11" s="35"/>
      <c r="BH11" s="75">
        <v>4</v>
      </c>
      <c r="BI11" s="76">
        <v>19512</v>
      </c>
      <c r="BJ11" s="76">
        <v>2</v>
      </c>
      <c r="BK11" s="1726">
        <v>48576</v>
      </c>
      <c r="BL11" s="76">
        <v>3</v>
      </c>
      <c r="BM11" s="76">
        <v>3</v>
      </c>
      <c r="BN11" s="76">
        <v>63326</v>
      </c>
      <c r="BO11" s="76">
        <v>3</v>
      </c>
      <c r="BP11" s="76">
        <v>3330</v>
      </c>
      <c r="BQ11" s="76">
        <v>3</v>
      </c>
      <c r="BR11" s="1725">
        <v>21</v>
      </c>
      <c r="BS11" s="35"/>
      <c r="BT11" s="80">
        <v>1</v>
      </c>
      <c r="BU11" s="81">
        <v>1532</v>
      </c>
      <c r="BV11" s="723"/>
      <c r="BW11" s="75" t="s">
        <v>153</v>
      </c>
      <c r="BX11" s="76" t="s">
        <v>153</v>
      </c>
      <c r="BY11" s="76" t="s">
        <v>153</v>
      </c>
      <c r="BZ11" s="79">
        <v>49</v>
      </c>
      <c r="CA11" s="76">
        <v>1930</v>
      </c>
      <c r="CB11" s="628">
        <v>2024</v>
      </c>
      <c r="CC11" s="79" t="s">
        <v>153</v>
      </c>
      <c r="CD11" s="76" t="s">
        <v>153</v>
      </c>
      <c r="CE11" s="1725" t="s">
        <v>153</v>
      </c>
      <c r="CF11" s="35"/>
      <c r="CG11" s="75">
        <v>414</v>
      </c>
      <c r="CH11" s="76">
        <v>87</v>
      </c>
      <c r="CI11" s="76">
        <v>20</v>
      </c>
      <c r="CJ11" s="76">
        <v>10</v>
      </c>
      <c r="CK11" s="76">
        <v>5</v>
      </c>
      <c r="CL11" s="1726">
        <v>5</v>
      </c>
      <c r="CM11" s="1726">
        <v>8</v>
      </c>
      <c r="CN11" s="76">
        <v>104</v>
      </c>
      <c r="CO11" s="1726">
        <v>13920</v>
      </c>
      <c r="CP11" s="1726">
        <v>58</v>
      </c>
      <c r="CQ11" s="1726">
        <v>136</v>
      </c>
      <c r="CR11" s="1725">
        <v>136</v>
      </c>
      <c r="CS11" s="35"/>
      <c r="CT11" s="627">
        <v>135</v>
      </c>
      <c r="CU11" s="1379">
        <v>23</v>
      </c>
      <c r="CV11" s="1379">
        <v>5</v>
      </c>
      <c r="CW11" s="1379">
        <v>46</v>
      </c>
      <c r="CX11" s="1379">
        <v>9</v>
      </c>
      <c r="CY11" s="1727">
        <v>28</v>
      </c>
      <c r="CZ11" s="1727">
        <v>24</v>
      </c>
      <c r="DA11" s="628">
        <v>971849</v>
      </c>
      <c r="DB11" s="1380">
        <v>19204</v>
      </c>
    </row>
    <row r="12" spans="1:106" ht="15.75" customHeight="1">
      <c r="A12" s="236" t="s">
        <v>154</v>
      </c>
      <c r="B12" s="245">
        <v>3</v>
      </c>
      <c r="C12" s="245">
        <v>35</v>
      </c>
      <c r="D12" s="245">
        <v>9</v>
      </c>
      <c r="E12" s="245">
        <v>10</v>
      </c>
      <c r="F12" s="245">
        <v>7</v>
      </c>
      <c r="G12" s="245">
        <v>813</v>
      </c>
      <c r="H12" s="245">
        <v>285</v>
      </c>
      <c r="I12" s="246">
        <v>94</v>
      </c>
      <c r="J12" s="238">
        <v>41</v>
      </c>
      <c r="K12" s="241">
        <v>13252</v>
      </c>
      <c r="L12" s="1720">
        <v>945</v>
      </c>
      <c r="M12" s="241">
        <v>2</v>
      </c>
      <c r="N12" s="241">
        <v>603</v>
      </c>
      <c r="O12" s="241">
        <v>37</v>
      </c>
      <c r="P12" s="1720">
        <v>23</v>
      </c>
      <c r="Q12" s="241">
        <v>6973</v>
      </c>
      <c r="R12" s="241">
        <v>591</v>
      </c>
      <c r="S12" s="241">
        <v>4</v>
      </c>
      <c r="T12" s="241">
        <v>666</v>
      </c>
      <c r="U12" s="1721">
        <v>54</v>
      </c>
      <c r="V12" s="245" t="s">
        <v>153</v>
      </c>
      <c r="W12" s="245" t="s">
        <v>153</v>
      </c>
      <c r="X12" s="245" t="s">
        <v>153</v>
      </c>
      <c r="Y12" s="245" t="s">
        <v>153</v>
      </c>
      <c r="Z12" s="245" t="s">
        <v>153</v>
      </c>
      <c r="AA12" s="245" t="s">
        <v>153</v>
      </c>
      <c r="AB12" s="241">
        <v>1</v>
      </c>
      <c r="AC12" s="1720">
        <v>814</v>
      </c>
      <c r="AD12" s="1720">
        <v>73</v>
      </c>
      <c r="AE12" s="241">
        <v>15</v>
      </c>
      <c r="AF12" s="1720">
        <v>8645</v>
      </c>
      <c r="AG12" s="1721">
        <v>761</v>
      </c>
      <c r="AH12" s="238" t="s">
        <v>148</v>
      </c>
      <c r="AI12" s="241" t="s">
        <v>148</v>
      </c>
      <c r="AJ12" s="241" t="s">
        <v>148</v>
      </c>
      <c r="AK12" s="245">
        <v>3</v>
      </c>
      <c r="AL12" s="241">
        <v>797</v>
      </c>
      <c r="AM12" s="1721">
        <v>91</v>
      </c>
      <c r="AN12" s="245" t="s">
        <v>148</v>
      </c>
      <c r="AO12" s="241" t="s">
        <v>148</v>
      </c>
      <c r="AP12" s="1720">
        <v>6</v>
      </c>
      <c r="AQ12" s="1720">
        <v>3</v>
      </c>
      <c r="AR12" s="241">
        <v>611947</v>
      </c>
      <c r="AS12" s="476">
        <v>216.3</v>
      </c>
      <c r="AT12" s="241">
        <v>404550</v>
      </c>
      <c r="AU12" s="246" t="s">
        <v>153</v>
      </c>
      <c r="AV12" s="245">
        <v>3</v>
      </c>
      <c r="AW12" s="619" t="s">
        <v>148</v>
      </c>
      <c r="AX12" s="241">
        <v>1</v>
      </c>
      <c r="AY12" s="1720">
        <v>2</v>
      </c>
      <c r="AZ12" s="619" t="s">
        <v>148</v>
      </c>
      <c r="BA12" s="619" t="s">
        <v>148</v>
      </c>
      <c r="BB12" s="619" t="s">
        <v>148</v>
      </c>
      <c r="BC12" s="619" t="s">
        <v>148</v>
      </c>
      <c r="BD12" s="619" t="s">
        <v>148</v>
      </c>
      <c r="BE12" s="619" t="s">
        <v>148</v>
      </c>
      <c r="BF12" s="1721">
        <v>14</v>
      </c>
      <c r="BG12" s="35"/>
      <c r="BH12" s="238">
        <v>9</v>
      </c>
      <c r="BI12" s="241">
        <v>31710</v>
      </c>
      <c r="BJ12" s="241">
        <v>1</v>
      </c>
      <c r="BK12" s="1720">
        <v>22000</v>
      </c>
      <c r="BL12" s="241">
        <v>6</v>
      </c>
      <c r="BM12" s="241">
        <v>8</v>
      </c>
      <c r="BN12" s="241">
        <v>192151</v>
      </c>
      <c r="BO12" s="241">
        <v>3</v>
      </c>
      <c r="BP12" s="241">
        <v>3319</v>
      </c>
      <c r="BQ12" s="241">
        <v>5</v>
      </c>
      <c r="BR12" s="1721">
        <v>34</v>
      </c>
      <c r="BS12" s="35"/>
      <c r="BT12" s="247">
        <v>4</v>
      </c>
      <c r="BU12" s="248">
        <v>2572</v>
      </c>
      <c r="BV12" s="723"/>
      <c r="BW12" s="238" t="s">
        <v>148</v>
      </c>
      <c r="BX12" s="241" t="s">
        <v>148</v>
      </c>
      <c r="BY12" s="241" t="s">
        <v>148</v>
      </c>
      <c r="BZ12" s="245">
        <v>1</v>
      </c>
      <c r="CA12" s="241">
        <v>40</v>
      </c>
      <c r="CB12" s="241">
        <v>28</v>
      </c>
      <c r="CC12" s="245">
        <v>58</v>
      </c>
      <c r="CD12" s="241">
        <v>2228</v>
      </c>
      <c r="CE12" s="1721">
        <v>2060</v>
      </c>
      <c r="CF12" s="35"/>
      <c r="CG12" s="238">
        <v>363</v>
      </c>
      <c r="CH12" s="241">
        <v>47</v>
      </c>
      <c r="CI12" s="241">
        <v>13</v>
      </c>
      <c r="CJ12" s="241">
        <v>13</v>
      </c>
      <c r="CK12" s="241">
        <v>3</v>
      </c>
      <c r="CL12" s="1720" t="s">
        <v>148</v>
      </c>
      <c r="CM12" s="1720">
        <v>10</v>
      </c>
      <c r="CN12" s="241">
        <v>30</v>
      </c>
      <c r="CO12" s="1720">
        <v>12558</v>
      </c>
      <c r="CP12" s="1720">
        <v>123</v>
      </c>
      <c r="CQ12" s="1720">
        <v>241</v>
      </c>
      <c r="CR12" s="1721">
        <v>188</v>
      </c>
      <c r="CS12" s="35"/>
      <c r="CT12" s="554">
        <v>227</v>
      </c>
      <c r="CU12" s="1539">
        <v>29</v>
      </c>
      <c r="CV12" s="1539">
        <v>8</v>
      </c>
      <c r="CW12" s="1539">
        <v>43</v>
      </c>
      <c r="CX12" s="1539">
        <v>67</v>
      </c>
      <c r="CY12" s="1722">
        <v>80</v>
      </c>
      <c r="CZ12" s="1722" t="s">
        <v>153</v>
      </c>
      <c r="DA12" s="555">
        <v>1048204</v>
      </c>
      <c r="DB12" s="1431">
        <v>44193</v>
      </c>
    </row>
    <row r="13" spans="1:106" ht="15.75" customHeight="1">
      <c r="A13" s="320" t="s">
        <v>155</v>
      </c>
      <c r="B13" s="35" t="s">
        <v>153</v>
      </c>
      <c r="C13" s="76" t="s">
        <v>153</v>
      </c>
      <c r="D13" s="79" t="s">
        <v>153</v>
      </c>
      <c r="E13" s="222">
        <v>16</v>
      </c>
      <c r="F13" s="222">
        <v>8</v>
      </c>
      <c r="G13" s="222">
        <v>1096</v>
      </c>
      <c r="H13" s="222">
        <v>353</v>
      </c>
      <c r="I13" s="223">
        <v>146</v>
      </c>
      <c r="J13" s="103">
        <v>40</v>
      </c>
      <c r="K13" s="105">
        <v>12753</v>
      </c>
      <c r="L13" s="1723">
        <v>875</v>
      </c>
      <c r="M13" s="105">
        <v>1</v>
      </c>
      <c r="N13" s="105">
        <v>556</v>
      </c>
      <c r="O13" s="105">
        <v>30</v>
      </c>
      <c r="P13" s="1723">
        <v>20</v>
      </c>
      <c r="Q13" s="105">
        <v>6566</v>
      </c>
      <c r="R13" s="105">
        <v>531</v>
      </c>
      <c r="S13" s="105">
        <v>2</v>
      </c>
      <c r="T13" s="105">
        <v>622</v>
      </c>
      <c r="U13" s="1725">
        <v>45</v>
      </c>
      <c r="V13" s="633" t="s">
        <v>153</v>
      </c>
      <c r="W13" s="633" t="s">
        <v>153</v>
      </c>
      <c r="X13" s="633" t="s">
        <v>153</v>
      </c>
      <c r="Y13" s="633" t="s">
        <v>153</v>
      </c>
      <c r="Z13" s="633" t="s">
        <v>153</v>
      </c>
      <c r="AA13" s="1379" t="s">
        <v>153</v>
      </c>
      <c r="AB13" s="105">
        <v>2</v>
      </c>
      <c r="AC13" s="1723">
        <v>882</v>
      </c>
      <c r="AD13" s="1723">
        <v>85</v>
      </c>
      <c r="AE13" s="105">
        <v>11</v>
      </c>
      <c r="AF13" s="1723">
        <v>6429</v>
      </c>
      <c r="AG13" s="1724">
        <v>591</v>
      </c>
      <c r="AH13" s="627" t="s">
        <v>153</v>
      </c>
      <c r="AI13" s="628" t="s">
        <v>153</v>
      </c>
      <c r="AJ13" s="628" t="s">
        <v>153</v>
      </c>
      <c r="AK13" s="633">
        <v>1</v>
      </c>
      <c r="AL13" s="628">
        <v>803</v>
      </c>
      <c r="AM13" s="1380">
        <v>76</v>
      </c>
      <c r="AN13" s="79" t="s">
        <v>153</v>
      </c>
      <c r="AO13" s="206">
        <v>1</v>
      </c>
      <c r="AP13" s="1726">
        <v>5</v>
      </c>
      <c r="AQ13" s="1726">
        <v>5</v>
      </c>
      <c r="AR13" s="76">
        <v>700492</v>
      </c>
      <c r="AS13" s="473">
        <v>234.6</v>
      </c>
      <c r="AT13" s="76">
        <v>743638</v>
      </c>
      <c r="AU13" s="184" t="s">
        <v>153</v>
      </c>
      <c r="AV13" s="633">
        <v>18</v>
      </c>
      <c r="AW13" s="206">
        <v>1</v>
      </c>
      <c r="AX13" s="206">
        <v>2</v>
      </c>
      <c r="AY13" s="1728">
        <v>10</v>
      </c>
      <c r="AZ13" s="206">
        <v>3</v>
      </c>
      <c r="BA13" s="206" t="s">
        <v>148</v>
      </c>
      <c r="BB13" s="206">
        <v>1</v>
      </c>
      <c r="BC13" s="206">
        <v>1</v>
      </c>
      <c r="BD13" s="206" t="s">
        <v>153</v>
      </c>
      <c r="BE13" s="206" t="s">
        <v>153</v>
      </c>
      <c r="BF13" s="1729" t="s">
        <v>153</v>
      </c>
      <c r="BG13" s="35"/>
      <c r="BH13" s="75">
        <v>7</v>
      </c>
      <c r="BI13" s="76">
        <v>24448</v>
      </c>
      <c r="BJ13" s="76">
        <v>1</v>
      </c>
      <c r="BK13" s="1726">
        <v>29458</v>
      </c>
      <c r="BL13" s="76">
        <v>8</v>
      </c>
      <c r="BM13" s="76">
        <v>9</v>
      </c>
      <c r="BN13" s="76">
        <v>224741</v>
      </c>
      <c r="BO13" s="76" t="s">
        <v>148</v>
      </c>
      <c r="BP13" s="76" t="s">
        <v>148</v>
      </c>
      <c r="BQ13" s="76">
        <v>10</v>
      </c>
      <c r="BR13" s="1725">
        <v>35</v>
      </c>
      <c r="BS13" s="35"/>
      <c r="BT13" s="323">
        <v>1</v>
      </c>
      <c r="BU13" s="324">
        <v>1188</v>
      </c>
      <c r="BV13" s="725"/>
      <c r="BW13" s="75" t="s">
        <v>153</v>
      </c>
      <c r="BX13" s="76" t="s">
        <v>153</v>
      </c>
      <c r="BY13" s="76" t="s">
        <v>153</v>
      </c>
      <c r="BZ13" s="76" t="s">
        <v>153</v>
      </c>
      <c r="CA13" s="76" t="s">
        <v>153</v>
      </c>
      <c r="CB13" s="76" t="s">
        <v>153</v>
      </c>
      <c r="CC13" s="206">
        <v>55</v>
      </c>
      <c r="CD13" s="206">
        <v>2526</v>
      </c>
      <c r="CE13" s="1729">
        <v>2338</v>
      </c>
      <c r="CF13" s="35"/>
      <c r="CG13" s="75">
        <v>413</v>
      </c>
      <c r="CH13" s="76">
        <v>70</v>
      </c>
      <c r="CI13" s="418">
        <v>12</v>
      </c>
      <c r="CJ13" s="76">
        <v>12</v>
      </c>
      <c r="CK13" s="76">
        <v>4</v>
      </c>
      <c r="CL13" s="1726">
        <v>3</v>
      </c>
      <c r="CM13" s="1726">
        <v>7</v>
      </c>
      <c r="CN13" s="76">
        <v>59</v>
      </c>
      <c r="CO13" s="1726">
        <v>13772</v>
      </c>
      <c r="CP13" s="1726">
        <v>116</v>
      </c>
      <c r="CQ13" s="1726">
        <v>316</v>
      </c>
      <c r="CR13" s="1725">
        <v>151</v>
      </c>
      <c r="CS13" s="35"/>
      <c r="CT13" s="627">
        <v>76</v>
      </c>
      <c r="CU13" s="1379">
        <v>11</v>
      </c>
      <c r="CV13" s="1379">
        <v>5</v>
      </c>
      <c r="CW13" s="1379">
        <v>6</v>
      </c>
      <c r="CX13" s="1379">
        <v>48</v>
      </c>
      <c r="CY13" s="1727">
        <v>6</v>
      </c>
      <c r="CZ13" s="1727" t="s">
        <v>148</v>
      </c>
      <c r="DA13" s="628">
        <v>1108357</v>
      </c>
      <c r="DB13" s="1380">
        <v>20324</v>
      </c>
    </row>
    <row r="14" spans="1:106" ht="15.75" customHeight="1">
      <c r="A14" s="236" t="s">
        <v>156</v>
      </c>
      <c r="B14" s="245" t="s">
        <v>153</v>
      </c>
      <c r="C14" s="245" t="s">
        <v>153</v>
      </c>
      <c r="D14" s="245" t="s">
        <v>153</v>
      </c>
      <c r="E14" s="245">
        <v>16</v>
      </c>
      <c r="F14" s="245">
        <v>9</v>
      </c>
      <c r="G14" s="640">
        <v>1490</v>
      </c>
      <c r="H14" s="245">
        <v>971</v>
      </c>
      <c r="I14" s="641">
        <v>191</v>
      </c>
      <c r="J14" s="238">
        <v>36</v>
      </c>
      <c r="K14" s="241">
        <v>11494</v>
      </c>
      <c r="L14" s="1720">
        <v>869</v>
      </c>
      <c r="M14" s="241">
        <v>1</v>
      </c>
      <c r="N14" s="241">
        <v>595</v>
      </c>
      <c r="O14" s="241">
        <v>35</v>
      </c>
      <c r="P14" s="1720">
        <v>15</v>
      </c>
      <c r="Q14" s="241">
        <v>5933</v>
      </c>
      <c r="R14" s="241">
        <v>504</v>
      </c>
      <c r="S14" s="241">
        <v>1</v>
      </c>
      <c r="T14" s="241">
        <v>404</v>
      </c>
      <c r="U14" s="1721">
        <v>29</v>
      </c>
      <c r="V14" s="245" t="s">
        <v>153</v>
      </c>
      <c r="W14" s="1720" t="s">
        <v>153</v>
      </c>
      <c r="X14" s="1720" t="s">
        <v>153</v>
      </c>
      <c r="Y14" s="241" t="s">
        <v>153</v>
      </c>
      <c r="Z14" s="1720" t="s">
        <v>153</v>
      </c>
      <c r="AA14" s="1720" t="s">
        <v>153</v>
      </c>
      <c r="AB14" s="241">
        <v>1</v>
      </c>
      <c r="AC14" s="1720">
        <v>837</v>
      </c>
      <c r="AD14" s="1720">
        <v>69</v>
      </c>
      <c r="AE14" s="241">
        <v>12</v>
      </c>
      <c r="AF14" s="241">
        <v>8776</v>
      </c>
      <c r="AG14" s="1431">
        <v>677</v>
      </c>
      <c r="AH14" s="238" t="s">
        <v>153</v>
      </c>
      <c r="AI14" s="241" t="s">
        <v>153</v>
      </c>
      <c r="AJ14" s="241" t="s">
        <v>153</v>
      </c>
      <c r="AK14" s="241">
        <v>1</v>
      </c>
      <c r="AL14" s="241">
        <v>211</v>
      </c>
      <c r="AM14" s="1721">
        <v>75</v>
      </c>
      <c r="AN14" s="245" t="s">
        <v>153</v>
      </c>
      <c r="AO14" s="241" t="s">
        <v>153</v>
      </c>
      <c r="AP14" s="1720">
        <v>4</v>
      </c>
      <c r="AQ14" s="1720">
        <v>5</v>
      </c>
      <c r="AR14" s="241">
        <v>403698</v>
      </c>
      <c r="AS14" s="476">
        <v>166.2</v>
      </c>
      <c r="AT14" s="241">
        <v>733326</v>
      </c>
      <c r="AU14" s="246" t="s">
        <v>153</v>
      </c>
      <c r="AV14" s="245">
        <v>8</v>
      </c>
      <c r="AW14" s="241">
        <v>1</v>
      </c>
      <c r="AX14" s="241" t="s">
        <v>148</v>
      </c>
      <c r="AY14" s="1720">
        <v>5</v>
      </c>
      <c r="AZ14" s="241">
        <v>1</v>
      </c>
      <c r="BA14" s="241" t="s">
        <v>148</v>
      </c>
      <c r="BB14" s="241" t="s">
        <v>148</v>
      </c>
      <c r="BC14" s="241">
        <v>1</v>
      </c>
      <c r="BD14" s="241" t="s">
        <v>148</v>
      </c>
      <c r="BE14" s="241" t="s">
        <v>148</v>
      </c>
      <c r="BF14" s="1721">
        <v>8</v>
      </c>
      <c r="BG14" s="35"/>
      <c r="BH14" s="238">
        <v>7</v>
      </c>
      <c r="BI14" s="241">
        <v>8656</v>
      </c>
      <c r="BJ14" s="241">
        <v>1</v>
      </c>
      <c r="BK14" s="1720">
        <v>73175</v>
      </c>
      <c r="BL14" s="241">
        <v>2</v>
      </c>
      <c r="BM14" s="241">
        <v>2</v>
      </c>
      <c r="BN14" s="241">
        <v>34210</v>
      </c>
      <c r="BO14" s="241">
        <v>4</v>
      </c>
      <c r="BP14" s="241">
        <v>3000</v>
      </c>
      <c r="BQ14" s="241">
        <v>4</v>
      </c>
      <c r="BR14" s="1721">
        <v>22</v>
      </c>
      <c r="BS14" s="35"/>
      <c r="BT14" s="247">
        <v>1</v>
      </c>
      <c r="BU14" s="248">
        <v>1202</v>
      </c>
      <c r="BV14" s="723"/>
      <c r="BW14" s="238" t="s">
        <v>148</v>
      </c>
      <c r="BX14" s="241" t="s">
        <v>148</v>
      </c>
      <c r="BY14" s="241" t="s">
        <v>148</v>
      </c>
      <c r="BZ14" s="245">
        <v>81</v>
      </c>
      <c r="CA14" s="241">
        <v>4098</v>
      </c>
      <c r="CB14" s="241">
        <v>4026</v>
      </c>
      <c r="CC14" s="245" t="s">
        <v>153</v>
      </c>
      <c r="CD14" s="241" t="s">
        <v>153</v>
      </c>
      <c r="CE14" s="1721" t="s">
        <v>153</v>
      </c>
      <c r="CF14" s="35"/>
      <c r="CG14" s="238">
        <v>264</v>
      </c>
      <c r="CH14" s="241">
        <v>36</v>
      </c>
      <c r="CI14" s="241">
        <v>10</v>
      </c>
      <c r="CJ14" s="241">
        <v>10</v>
      </c>
      <c r="CK14" s="241">
        <v>2</v>
      </c>
      <c r="CL14" s="1720" t="s">
        <v>153</v>
      </c>
      <c r="CM14" s="1720">
        <v>5</v>
      </c>
      <c r="CN14" s="241">
        <v>52</v>
      </c>
      <c r="CO14" s="1720">
        <v>12042</v>
      </c>
      <c r="CP14" s="1720">
        <v>125</v>
      </c>
      <c r="CQ14" s="1720">
        <v>354</v>
      </c>
      <c r="CR14" s="1721">
        <v>157</v>
      </c>
      <c r="CS14" s="35"/>
      <c r="CT14" s="554">
        <v>70</v>
      </c>
      <c r="CU14" s="1539">
        <v>18</v>
      </c>
      <c r="CV14" s="1539">
        <v>4</v>
      </c>
      <c r="CW14" s="1539">
        <v>29</v>
      </c>
      <c r="CX14" s="1539">
        <v>6</v>
      </c>
      <c r="CY14" s="1722">
        <v>13</v>
      </c>
      <c r="CZ14" s="1722" t="s">
        <v>148</v>
      </c>
      <c r="DA14" s="555">
        <v>865505</v>
      </c>
      <c r="DB14" s="1431">
        <v>6874</v>
      </c>
    </row>
    <row r="15" spans="1:106" ht="15.75" customHeight="1">
      <c r="A15" s="320" t="s">
        <v>157</v>
      </c>
      <c r="B15" s="620">
        <v>10</v>
      </c>
      <c r="C15" s="620">
        <v>213</v>
      </c>
      <c r="D15" s="620">
        <v>52</v>
      </c>
      <c r="E15" s="620">
        <v>18</v>
      </c>
      <c r="F15" s="620">
        <v>5</v>
      </c>
      <c r="G15" s="620">
        <v>2219</v>
      </c>
      <c r="H15" s="620">
        <v>1113</v>
      </c>
      <c r="I15" s="623">
        <v>247</v>
      </c>
      <c r="J15" s="539">
        <v>43</v>
      </c>
      <c r="K15" s="540">
        <v>11958</v>
      </c>
      <c r="L15" s="1571">
        <v>872</v>
      </c>
      <c r="M15" s="540">
        <v>2</v>
      </c>
      <c r="N15" s="540">
        <v>756</v>
      </c>
      <c r="O15" s="540">
        <v>62</v>
      </c>
      <c r="P15" s="1571">
        <v>19</v>
      </c>
      <c r="Q15" s="540">
        <v>6165</v>
      </c>
      <c r="R15" s="540">
        <v>503</v>
      </c>
      <c r="S15" s="540">
        <v>3</v>
      </c>
      <c r="T15" s="540">
        <v>537</v>
      </c>
      <c r="U15" s="1572">
        <v>72</v>
      </c>
      <c r="V15" s="633" t="s">
        <v>153</v>
      </c>
      <c r="W15" s="1379" t="s">
        <v>153</v>
      </c>
      <c r="X15" s="1379" t="s">
        <v>153</v>
      </c>
      <c r="Y15" s="628" t="s">
        <v>153</v>
      </c>
      <c r="Z15" s="1379" t="s">
        <v>153</v>
      </c>
      <c r="AA15" s="1379" t="s">
        <v>153</v>
      </c>
      <c r="AB15" s="628" t="s">
        <v>153</v>
      </c>
      <c r="AC15" s="1379" t="s">
        <v>153</v>
      </c>
      <c r="AD15" s="1379" t="s">
        <v>153</v>
      </c>
      <c r="AE15" s="540">
        <v>13</v>
      </c>
      <c r="AF15" s="540">
        <v>8342</v>
      </c>
      <c r="AG15" s="1572">
        <v>891</v>
      </c>
      <c r="AH15" s="627" t="s">
        <v>153</v>
      </c>
      <c r="AI15" s="628" t="s">
        <v>153</v>
      </c>
      <c r="AJ15" s="628" t="s">
        <v>153</v>
      </c>
      <c r="AK15" s="540">
        <v>2</v>
      </c>
      <c r="AL15" s="540">
        <v>73</v>
      </c>
      <c r="AM15" s="1572">
        <v>39</v>
      </c>
      <c r="AN15" s="620" t="s">
        <v>153</v>
      </c>
      <c r="AO15" s="540" t="s">
        <v>153</v>
      </c>
      <c r="AP15" s="1571">
        <v>1</v>
      </c>
      <c r="AQ15" s="1571">
        <v>3</v>
      </c>
      <c r="AR15" s="540">
        <v>919135</v>
      </c>
      <c r="AS15" s="624">
        <v>333.6</v>
      </c>
      <c r="AT15" s="624">
        <v>984231</v>
      </c>
      <c r="AU15" s="1572">
        <v>11257</v>
      </c>
      <c r="AV15" s="620">
        <v>8</v>
      </c>
      <c r="AW15" s="540">
        <v>1</v>
      </c>
      <c r="AX15" s="540" t="s">
        <v>153</v>
      </c>
      <c r="AY15" s="1571">
        <v>5</v>
      </c>
      <c r="AZ15" s="540">
        <v>1</v>
      </c>
      <c r="BA15" s="540">
        <v>1</v>
      </c>
      <c r="BB15" s="540" t="s">
        <v>153</v>
      </c>
      <c r="BC15" s="540" t="s">
        <v>153</v>
      </c>
      <c r="BD15" s="540" t="s">
        <v>153</v>
      </c>
      <c r="BE15" s="540" t="s">
        <v>153</v>
      </c>
      <c r="BF15" s="1572">
        <v>23</v>
      </c>
      <c r="BG15" s="542"/>
      <c r="BH15" s="539">
        <v>6</v>
      </c>
      <c r="BI15" s="540">
        <v>25214.69</v>
      </c>
      <c r="BJ15" s="540">
        <v>1</v>
      </c>
      <c r="BK15" s="1571">
        <v>37774</v>
      </c>
      <c r="BL15" s="540">
        <v>3</v>
      </c>
      <c r="BM15" s="540">
        <v>3</v>
      </c>
      <c r="BN15" s="540">
        <v>62360</v>
      </c>
      <c r="BO15" s="540">
        <v>2</v>
      </c>
      <c r="BP15" s="540">
        <v>4418.2</v>
      </c>
      <c r="BQ15" s="540">
        <v>3</v>
      </c>
      <c r="BR15" s="1572">
        <v>26</v>
      </c>
      <c r="BS15" s="542"/>
      <c r="BT15" s="625">
        <v>1</v>
      </c>
      <c r="BU15" s="626">
        <v>120</v>
      </c>
      <c r="BV15" s="726"/>
      <c r="BW15" s="539" t="s">
        <v>153</v>
      </c>
      <c r="BX15" s="540" t="s">
        <v>153</v>
      </c>
      <c r="BY15" s="540" t="s">
        <v>153</v>
      </c>
      <c r="BZ15" s="620" t="s">
        <v>153</v>
      </c>
      <c r="CA15" s="540" t="s">
        <v>153</v>
      </c>
      <c r="CB15" s="540" t="s">
        <v>153</v>
      </c>
      <c r="CC15" s="620">
        <v>94</v>
      </c>
      <c r="CD15" s="540">
        <v>3428</v>
      </c>
      <c r="CE15" s="1572">
        <v>3556</v>
      </c>
      <c r="CF15" s="542"/>
      <c r="CG15" s="539">
        <v>279</v>
      </c>
      <c r="CH15" s="540">
        <v>51</v>
      </c>
      <c r="CI15" s="540">
        <v>13</v>
      </c>
      <c r="CJ15" s="540">
        <v>13</v>
      </c>
      <c r="CK15" s="540">
        <v>3</v>
      </c>
      <c r="CL15" s="1571">
        <v>2</v>
      </c>
      <c r="CM15" s="1571">
        <v>3</v>
      </c>
      <c r="CN15" s="540">
        <v>70</v>
      </c>
      <c r="CO15" s="1571">
        <v>14385</v>
      </c>
      <c r="CP15" s="1571">
        <v>148</v>
      </c>
      <c r="CQ15" s="1571">
        <v>156</v>
      </c>
      <c r="CR15" s="1572">
        <v>160</v>
      </c>
      <c r="CS15" s="542"/>
      <c r="CT15" s="539">
        <v>88</v>
      </c>
      <c r="CU15" s="1571">
        <v>40</v>
      </c>
      <c r="CV15" s="1571">
        <v>2</v>
      </c>
      <c r="CW15" s="1571">
        <v>1</v>
      </c>
      <c r="CX15" s="1571">
        <v>14</v>
      </c>
      <c r="CY15" s="1730">
        <v>11</v>
      </c>
      <c r="CZ15" s="1730">
        <v>20</v>
      </c>
      <c r="DA15" s="540">
        <v>987653</v>
      </c>
      <c r="DB15" s="1572">
        <v>350</v>
      </c>
    </row>
    <row r="16" spans="1:106" ht="15.75" customHeight="1">
      <c r="A16" s="236" t="s">
        <v>158</v>
      </c>
      <c r="B16" s="245" t="s">
        <v>153</v>
      </c>
      <c r="C16" s="245" t="s">
        <v>153</v>
      </c>
      <c r="D16" s="245" t="s">
        <v>153</v>
      </c>
      <c r="E16" s="245">
        <v>28</v>
      </c>
      <c r="F16" s="245">
        <v>28</v>
      </c>
      <c r="G16" s="245">
        <v>3671</v>
      </c>
      <c r="H16" s="245">
        <v>2129</v>
      </c>
      <c r="I16" s="246">
        <v>457</v>
      </c>
      <c r="J16" s="238">
        <v>51</v>
      </c>
      <c r="K16" s="241">
        <v>15818</v>
      </c>
      <c r="L16" s="1720">
        <v>1027</v>
      </c>
      <c r="M16" s="241">
        <v>1</v>
      </c>
      <c r="N16" s="241">
        <v>245</v>
      </c>
      <c r="O16" s="241">
        <v>17</v>
      </c>
      <c r="P16" s="1720">
        <v>25</v>
      </c>
      <c r="Q16" s="241">
        <v>8085</v>
      </c>
      <c r="R16" s="241">
        <v>619</v>
      </c>
      <c r="S16" s="241">
        <v>1</v>
      </c>
      <c r="T16" s="241">
        <v>147</v>
      </c>
      <c r="U16" s="1721">
        <v>12</v>
      </c>
      <c r="V16" s="245">
        <v>2</v>
      </c>
      <c r="W16" s="1720">
        <v>415</v>
      </c>
      <c r="X16" s="1720">
        <v>49</v>
      </c>
      <c r="Y16" s="241" t="s">
        <v>148</v>
      </c>
      <c r="Z16" s="1720" t="s">
        <v>148</v>
      </c>
      <c r="AA16" s="1720" t="s">
        <v>148</v>
      </c>
      <c r="AB16" s="241" t="s">
        <v>148</v>
      </c>
      <c r="AC16" s="1720" t="s">
        <v>148</v>
      </c>
      <c r="AD16" s="1720" t="s">
        <v>148</v>
      </c>
      <c r="AE16" s="241">
        <v>12</v>
      </c>
      <c r="AF16" s="1720">
        <v>9645</v>
      </c>
      <c r="AG16" s="1721">
        <v>744</v>
      </c>
      <c r="AH16" s="238" t="s">
        <v>148</v>
      </c>
      <c r="AI16" s="241" t="s">
        <v>148</v>
      </c>
      <c r="AJ16" s="241" t="s">
        <v>148</v>
      </c>
      <c r="AK16" s="245">
        <v>1</v>
      </c>
      <c r="AL16" s="241">
        <v>292</v>
      </c>
      <c r="AM16" s="1721">
        <v>38</v>
      </c>
      <c r="AN16" s="245" t="s">
        <v>148</v>
      </c>
      <c r="AO16" s="241" t="s">
        <v>148</v>
      </c>
      <c r="AP16" s="1720">
        <v>4</v>
      </c>
      <c r="AQ16" s="1720">
        <v>4</v>
      </c>
      <c r="AR16" s="241">
        <v>878057</v>
      </c>
      <c r="AS16" s="476">
        <v>277.5</v>
      </c>
      <c r="AT16" s="241">
        <v>1042446</v>
      </c>
      <c r="AU16" s="246">
        <v>6540</v>
      </c>
      <c r="AV16" s="245">
        <v>6</v>
      </c>
      <c r="AW16" s="241">
        <v>1</v>
      </c>
      <c r="AX16" s="241">
        <v>1</v>
      </c>
      <c r="AY16" s="1720">
        <v>3</v>
      </c>
      <c r="AZ16" s="241">
        <v>1</v>
      </c>
      <c r="BA16" s="241" t="s">
        <v>153</v>
      </c>
      <c r="BB16" s="241" t="s">
        <v>153</v>
      </c>
      <c r="BC16" s="241" t="s">
        <v>153</v>
      </c>
      <c r="BD16" s="241" t="s">
        <v>153</v>
      </c>
      <c r="BE16" s="241" t="s">
        <v>153</v>
      </c>
      <c r="BF16" s="1721">
        <v>92</v>
      </c>
      <c r="BG16" s="35"/>
      <c r="BH16" s="238">
        <v>6</v>
      </c>
      <c r="BI16" s="241">
        <v>27002</v>
      </c>
      <c r="BJ16" s="241">
        <v>2</v>
      </c>
      <c r="BK16" s="1720">
        <v>36000</v>
      </c>
      <c r="BL16" s="241">
        <v>3</v>
      </c>
      <c r="BM16" s="241">
        <v>3</v>
      </c>
      <c r="BN16" s="241">
        <v>54027</v>
      </c>
      <c r="BO16" s="241">
        <v>3</v>
      </c>
      <c r="BP16" s="241">
        <v>8947</v>
      </c>
      <c r="BQ16" s="241">
        <v>2</v>
      </c>
      <c r="BR16" s="1721">
        <v>20</v>
      </c>
      <c r="BS16" s="35"/>
      <c r="BT16" s="247">
        <v>1</v>
      </c>
      <c r="BU16" s="248">
        <v>2004</v>
      </c>
      <c r="BV16" s="723"/>
      <c r="BW16" s="238">
        <v>85</v>
      </c>
      <c r="BX16" s="241">
        <v>3570</v>
      </c>
      <c r="BY16" s="241">
        <v>3649</v>
      </c>
      <c r="BZ16" s="245" t="s">
        <v>153</v>
      </c>
      <c r="CA16" s="241" t="s">
        <v>153</v>
      </c>
      <c r="CB16" s="241" t="s">
        <v>153</v>
      </c>
      <c r="CC16" s="245">
        <v>30</v>
      </c>
      <c r="CD16" s="241">
        <v>988</v>
      </c>
      <c r="CE16" s="1721">
        <v>988</v>
      </c>
      <c r="CF16" s="35"/>
      <c r="CG16" s="238">
        <v>301</v>
      </c>
      <c r="CH16" s="241">
        <v>45</v>
      </c>
      <c r="CI16" s="241">
        <v>12</v>
      </c>
      <c r="CJ16" s="241">
        <v>12</v>
      </c>
      <c r="CK16" s="241">
        <v>1</v>
      </c>
      <c r="CL16" s="1720">
        <v>9</v>
      </c>
      <c r="CM16" s="1720">
        <v>1</v>
      </c>
      <c r="CN16" s="241">
        <v>85</v>
      </c>
      <c r="CO16" s="1720">
        <v>15114</v>
      </c>
      <c r="CP16" s="1720">
        <v>94</v>
      </c>
      <c r="CQ16" s="1720">
        <v>297</v>
      </c>
      <c r="CR16" s="1721">
        <v>252</v>
      </c>
      <c r="CS16" s="35"/>
      <c r="CT16" s="554">
        <v>102</v>
      </c>
      <c r="CU16" s="1539">
        <v>13</v>
      </c>
      <c r="CV16" s="1539">
        <v>2</v>
      </c>
      <c r="CW16" s="1539">
        <v>46</v>
      </c>
      <c r="CX16" s="1539">
        <v>14</v>
      </c>
      <c r="CY16" s="1722">
        <v>27</v>
      </c>
      <c r="CZ16" s="1722" t="s">
        <v>153</v>
      </c>
      <c r="DA16" s="555">
        <v>1174816.17</v>
      </c>
      <c r="DB16" s="1431">
        <v>33341.040000000008</v>
      </c>
    </row>
    <row r="17" spans="1:106" ht="15.75" customHeight="1">
      <c r="A17" s="320" t="s">
        <v>160</v>
      </c>
      <c r="B17" s="113">
        <v>11</v>
      </c>
      <c r="C17" s="113">
        <v>330</v>
      </c>
      <c r="D17" s="113">
        <v>37</v>
      </c>
      <c r="E17" s="113">
        <v>20</v>
      </c>
      <c r="F17" s="113">
        <v>9</v>
      </c>
      <c r="G17" s="113">
        <v>1473</v>
      </c>
      <c r="H17" s="113">
        <v>576</v>
      </c>
      <c r="I17" s="119">
        <v>189</v>
      </c>
      <c r="J17" s="103">
        <v>63</v>
      </c>
      <c r="K17" s="105">
        <v>15439</v>
      </c>
      <c r="L17" s="1723">
        <v>1253</v>
      </c>
      <c r="M17" s="105">
        <v>1</v>
      </c>
      <c r="N17" s="105">
        <v>39</v>
      </c>
      <c r="O17" s="105">
        <v>10</v>
      </c>
      <c r="P17" s="1723">
        <v>38</v>
      </c>
      <c r="Q17" s="105">
        <v>7717</v>
      </c>
      <c r="R17" s="105">
        <v>803</v>
      </c>
      <c r="S17" s="105">
        <v>3</v>
      </c>
      <c r="T17" s="105">
        <v>158</v>
      </c>
      <c r="U17" s="1724">
        <v>58</v>
      </c>
      <c r="V17" s="1379" t="s">
        <v>148</v>
      </c>
      <c r="W17" s="1379" t="s">
        <v>148</v>
      </c>
      <c r="X17" s="1379" t="s">
        <v>148</v>
      </c>
      <c r="Y17" s="1379" t="s">
        <v>148</v>
      </c>
      <c r="Z17" s="1379" t="s">
        <v>148</v>
      </c>
      <c r="AA17" s="1379" t="s">
        <v>148</v>
      </c>
      <c r="AB17" s="105" t="s">
        <v>148</v>
      </c>
      <c r="AC17" s="1723" t="s">
        <v>148</v>
      </c>
      <c r="AD17" s="1723" t="s">
        <v>148</v>
      </c>
      <c r="AE17" s="105">
        <v>17</v>
      </c>
      <c r="AF17" s="1723">
        <v>7114</v>
      </c>
      <c r="AG17" s="1724">
        <v>1074</v>
      </c>
      <c r="AH17" s="103" t="s">
        <v>148</v>
      </c>
      <c r="AI17" s="105" t="s">
        <v>148</v>
      </c>
      <c r="AJ17" s="105" t="s">
        <v>148</v>
      </c>
      <c r="AK17" s="113">
        <v>1</v>
      </c>
      <c r="AL17" s="105">
        <v>149</v>
      </c>
      <c r="AM17" s="1725">
        <v>46</v>
      </c>
      <c r="AN17" s="79" t="s">
        <v>148</v>
      </c>
      <c r="AO17" s="76" t="s">
        <v>148</v>
      </c>
      <c r="AP17" s="1726">
        <v>4</v>
      </c>
      <c r="AQ17" s="1726">
        <v>6</v>
      </c>
      <c r="AR17" s="76">
        <v>840969</v>
      </c>
      <c r="AS17" s="473">
        <v>260.8</v>
      </c>
      <c r="AT17" s="76">
        <v>1205563</v>
      </c>
      <c r="AU17" s="184">
        <v>3406</v>
      </c>
      <c r="AV17" s="79">
        <v>2</v>
      </c>
      <c r="AW17" s="76" t="s">
        <v>153</v>
      </c>
      <c r="AX17" s="76" t="s">
        <v>153</v>
      </c>
      <c r="AY17" s="1726" t="s">
        <v>153</v>
      </c>
      <c r="AZ17" s="76">
        <v>1</v>
      </c>
      <c r="BA17" s="76" t="s">
        <v>153</v>
      </c>
      <c r="BB17" s="76" t="s">
        <v>153</v>
      </c>
      <c r="BC17" s="76" t="s">
        <v>153</v>
      </c>
      <c r="BD17" s="76" t="s">
        <v>153</v>
      </c>
      <c r="BE17" s="76">
        <v>1</v>
      </c>
      <c r="BF17" s="1725">
        <v>37</v>
      </c>
      <c r="BG17" s="35"/>
      <c r="BH17" s="75">
        <v>7</v>
      </c>
      <c r="BI17" s="76">
        <v>21610</v>
      </c>
      <c r="BJ17" s="76">
        <v>2</v>
      </c>
      <c r="BK17" s="1726">
        <v>40701</v>
      </c>
      <c r="BL17" s="76">
        <v>3</v>
      </c>
      <c r="BM17" s="76">
        <v>3</v>
      </c>
      <c r="BN17" s="76">
        <v>124825</v>
      </c>
      <c r="BO17" s="76">
        <v>2</v>
      </c>
      <c r="BP17" s="76">
        <v>2400</v>
      </c>
      <c r="BQ17" s="76">
        <v>3</v>
      </c>
      <c r="BR17" s="1725">
        <v>24</v>
      </c>
      <c r="BS17" s="35"/>
      <c r="BT17" s="80">
        <v>5</v>
      </c>
      <c r="BU17" s="81">
        <v>4309</v>
      </c>
      <c r="BV17" s="723"/>
      <c r="BW17" s="75" t="s">
        <v>153</v>
      </c>
      <c r="BX17" s="76" t="s">
        <v>153</v>
      </c>
      <c r="BY17" s="76" t="s">
        <v>153</v>
      </c>
      <c r="BZ17" s="79">
        <v>81</v>
      </c>
      <c r="CA17" s="76">
        <v>3587</v>
      </c>
      <c r="CB17" s="76">
        <v>3512</v>
      </c>
      <c r="CC17" s="79">
        <v>1</v>
      </c>
      <c r="CD17" s="76">
        <v>40</v>
      </c>
      <c r="CE17" s="1725">
        <v>32</v>
      </c>
      <c r="CF17" s="35"/>
      <c r="CG17" s="75">
        <v>366</v>
      </c>
      <c r="CH17" s="76">
        <v>81</v>
      </c>
      <c r="CI17" s="76">
        <v>16</v>
      </c>
      <c r="CJ17" s="76">
        <v>16</v>
      </c>
      <c r="CK17" s="76">
        <v>5</v>
      </c>
      <c r="CL17" s="1726">
        <v>1</v>
      </c>
      <c r="CM17" s="1726">
        <v>7</v>
      </c>
      <c r="CN17" s="76">
        <v>71</v>
      </c>
      <c r="CO17" s="1726">
        <v>15437</v>
      </c>
      <c r="CP17" s="1726">
        <v>170</v>
      </c>
      <c r="CQ17" s="1726">
        <v>288</v>
      </c>
      <c r="CR17" s="1725">
        <v>207</v>
      </c>
      <c r="CS17" s="35"/>
      <c r="CT17" s="627">
        <v>287</v>
      </c>
      <c r="CU17" s="1379">
        <v>42</v>
      </c>
      <c r="CV17" s="1379">
        <v>9</v>
      </c>
      <c r="CW17" s="1379">
        <v>162</v>
      </c>
      <c r="CX17" s="1379">
        <v>55</v>
      </c>
      <c r="CY17" s="1727">
        <v>19</v>
      </c>
      <c r="CZ17" s="1727" t="s">
        <v>148</v>
      </c>
      <c r="DA17" s="628">
        <v>1462263.52</v>
      </c>
      <c r="DB17" s="1380">
        <v>46170.9</v>
      </c>
    </row>
    <row r="18" spans="1:106" ht="15.75" customHeight="1">
      <c r="A18" s="236" t="s">
        <v>162</v>
      </c>
      <c r="B18" s="245">
        <v>10</v>
      </c>
      <c r="C18" s="245">
        <v>267</v>
      </c>
      <c r="D18" s="245">
        <v>32</v>
      </c>
      <c r="E18" s="245">
        <v>14</v>
      </c>
      <c r="F18" s="245">
        <v>14</v>
      </c>
      <c r="G18" s="245">
        <v>1974</v>
      </c>
      <c r="H18" s="245">
        <v>1974</v>
      </c>
      <c r="I18" s="246">
        <v>187</v>
      </c>
      <c r="J18" s="238">
        <v>32</v>
      </c>
      <c r="K18" s="241">
        <v>12798</v>
      </c>
      <c r="L18" s="1720">
        <v>841</v>
      </c>
      <c r="M18" s="241">
        <v>2</v>
      </c>
      <c r="N18" s="241">
        <v>500</v>
      </c>
      <c r="O18" s="241">
        <v>82</v>
      </c>
      <c r="P18" s="1720">
        <v>15</v>
      </c>
      <c r="Q18" s="241">
        <v>6232</v>
      </c>
      <c r="R18" s="241">
        <v>503</v>
      </c>
      <c r="S18" s="241">
        <v>3</v>
      </c>
      <c r="T18" s="241">
        <v>734</v>
      </c>
      <c r="U18" s="1721">
        <v>77</v>
      </c>
      <c r="V18" s="245">
        <v>1</v>
      </c>
      <c r="W18" s="1720">
        <v>134</v>
      </c>
      <c r="X18" s="1720">
        <v>25</v>
      </c>
      <c r="Y18" s="241" t="s">
        <v>148</v>
      </c>
      <c r="Z18" s="1720" t="s">
        <v>148</v>
      </c>
      <c r="AA18" s="1720" t="s">
        <v>148</v>
      </c>
      <c r="AB18" s="241" t="s">
        <v>148</v>
      </c>
      <c r="AC18" s="1720" t="s">
        <v>148</v>
      </c>
      <c r="AD18" s="1720" t="s">
        <v>148</v>
      </c>
      <c r="AE18" s="241">
        <v>15</v>
      </c>
      <c r="AF18" s="1720">
        <v>12859</v>
      </c>
      <c r="AG18" s="1721">
        <v>1347</v>
      </c>
      <c r="AH18" s="238" t="s">
        <v>148</v>
      </c>
      <c r="AI18" s="241" t="s">
        <v>148</v>
      </c>
      <c r="AJ18" s="241" t="s">
        <v>148</v>
      </c>
      <c r="AK18" s="245">
        <v>4</v>
      </c>
      <c r="AL18" s="241">
        <v>623</v>
      </c>
      <c r="AM18" s="1721">
        <v>68</v>
      </c>
      <c r="AN18" s="245" t="s">
        <v>148</v>
      </c>
      <c r="AO18" s="241" t="s">
        <v>148</v>
      </c>
      <c r="AP18" s="1720">
        <v>6</v>
      </c>
      <c r="AQ18" s="1720">
        <v>6</v>
      </c>
      <c r="AR18" s="241">
        <v>1000625</v>
      </c>
      <c r="AS18" s="476">
        <v>371.7</v>
      </c>
      <c r="AT18" s="241">
        <v>1243922</v>
      </c>
      <c r="AU18" s="246">
        <v>8564</v>
      </c>
      <c r="AV18" s="245">
        <v>16</v>
      </c>
      <c r="AW18" s="241">
        <v>1</v>
      </c>
      <c r="AX18" s="241">
        <v>1</v>
      </c>
      <c r="AY18" s="1720">
        <v>11</v>
      </c>
      <c r="AZ18" s="241">
        <v>3</v>
      </c>
      <c r="BA18" s="241" t="s">
        <v>153</v>
      </c>
      <c r="BB18" s="241" t="s">
        <v>153</v>
      </c>
      <c r="BC18" s="241">
        <v>1</v>
      </c>
      <c r="BD18" s="241" t="s">
        <v>153</v>
      </c>
      <c r="BE18" s="241" t="s">
        <v>153</v>
      </c>
      <c r="BF18" s="1721" t="s">
        <v>153</v>
      </c>
      <c r="BG18" s="35"/>
      <c r="BH18" s="238">
        <v>6</v>
      </c>
      <c r="BI18" s="241">
        <v>36735</v>
      </c>
      <c r="BJ18" s="241">
        <v>2</v>
      </c>
      <c r="BK18" s="1720">
        <v>78810</v>
      </c>
      <c r="BL18" s="241">
        <v>6</v>
      </c>
      <c r="BM18" s="241">
        <v>15</v>
      </c>
      <c r="BN18" s="241">
        <v>229675</v>
      </c>
      <c r="BO18" s="241">
        <v>4</v>
      </c>
      <c r="BP18" s="241">
        <v>1584</v>
      </c>
      <c r="BQ18" s="241">
        <v>7</v>
      </c>
      <c r="BR18" s="1721">
        <v>33</v>
      </c>
      <c r="BS18" s="35"/>
      <c r="BT18" s="247">
        <v>1</v>
      </c>
      <c r="BU18" s="368" t="s">
        <v>153</v>
      </c>
      <c r="BV18" s="723"/>
      <c r="BW18" s="238" t="s">
        <v>153</v>
      </c>
      <c r="BX18" s="241" t="s">
        <v>153</v>
      </c>
      <c r="BY18" s="241" t="s">
        <v>153</v>
      </c>
      <c r="BZ18" s="245">
        <v>77</v>
      </c>
      <c r="CA18" s="241">
        <v>3060</v>
      </c>
      <c r="CB18" s="241">
        <v>4137</v>
      </c>
      <c r="CC18" s="245">
        <v>22</v>
      </c>
      <c r="CD18" s="241">
        <v>1146</v>
      </c>
      <c r="CE18" s="1721">
        <v>1218</v>
      </c>
      <c r="CF18" s="35"/>
      <c r="CG18" s="238">
        <v>342</v>
      </c>
      <c r="CH18" s="241">
        <v>40</v>
      </c>
      <c r="CI18" s="241">
        <v>12</v>
      </c>
      <c r="CJ18" s="241">
        <v>12</v>
      </c>
      <c r="CK18" s="241">
        <v>2</v>
      </c>
      <c r="CL18" s="1720" t="s">
        <v>153</v>
      </c>
      <c r="CM18" s="1720">
        <v>9</v>
      </c>
      <c r="CN18" s="241">
        <v>94</v>
      </c>
      <c r="CO18" s="1720">
        <v>16515</v>
      </c>
      <c r="CP18" s="1720">
        <v>229</v>
      </c>
      <c r="CQ18" s="1720">
        <v>110</v>
      </c>
      <c r="CR18" s="1721">
        <v>128</v>
      </c>
      <c r="CS18" s="35"/>
      <c r="CT18" s="554">
        <v>536</v>
      </c>
      <c r="CU18" s="1539">
        <v>28</v>
      </c>
      <c r="CV18" s="1539" t="s">
        <v>153</v>
      </c>
      <c r="CW18" s="1539">
        <v>479</v>
      </c>
      <c r="CX18" s="1539">
        <v>7</v>
      </c>
      <c r="CY18" s="1722">
        <v>22</v>
      </c>
      <c r="CZ18" s="1722" t="s">
        <v>153</v>
      </c>
      <c r="DA18" s="555">
        <v>1003804</v>
      </c>
      <c r="DB18" s="1431">
        <v>4378</v>
      </c>
    </row>
    <row r="19" spans="1:106" ht="15.75" customHeight="1">
      <c r="A19" s="320" t="s">
        <v>164</v>
      </c>
      <c r="B19" s="79" t="s">
        <v>153</v>
      </c>
      <c r="C19" s="79" t="s">
        <v>153</v>
      </c>
      <c r="D19" s="79" t="s">
        <v>153</v>
      </c>
      <c r="E19" s="113">
        <v>24</v>
      </c>
      <c r="F19" s="113">
        <v>8</v>
      </c>
      <c r="G19" s="113">
        <v>3420</v>
      </c>
      <c r="H19" s="113">
        <v>3189</v>
      </c>
      <c r="I19" s="119">
        <v>468</v>
      </c>
      <c r="J19" s="103">
        <v>69</v>
      </c>
      <c r="K19" s="105">
        <v>26520</v>
      </c>
      <c r="L19" s="1723">
        <v>1868</v>
      </c>
      <c r="M19" s="105">
        <v>2</v>
      </c>
      <c r="N19" s="105">
        <v>1034</v>
      </c>
      <c r="O19" s="105">
        <v>53</v>
      </c>
      <c r="P19" s="1723">
        <v>25</v>
      </c>
      <c r="Q19" s="105">
        <v>13009</v>
      </c>
      <c r="R19" s="105">
        <v>991</v>
      </c>
      <c r="S19" s="105">
        <v>6</v>
      </c>
      <c r="T19" s="105">
        <v>1464</v>
      </c>
      <c r="U19" s="1724">
        <v>93</v>
      </c>
      <c r="V19" s="113" t="s">
        <v>153</v>
      </c>
      <c r="W19" s="1723" t="s">
        <v>148</v>
      </c>
      <c r="X19" s="1723" t="s">
        <v>148</v>
      </c>
      <c r="Y19" s="105" t="s">
        <v>148</v>
      </c>
      <c r="Z19" s="1723" t="s">
        <v>148</v>
      </c>
      <c r="AA19" s="1723" t="s">
        <v>148</v>
      </c>
      <c r="AB19" s="105" t="s">
        <v>148</v>
      </c>
      <c r="AC19" s="1723" t="s">
        <v>148</v>
      </c>
      <c r="AD19" s="1723" t="s">
        <v>148</v>
      </c>
      <c r="AE19" s="105">
        <v>16</v>
      </c>
      <c r="AF19" s="1723">
        <v>16140</v>
      </c>
      <c r="AG19" s="1724">
        <v>1112</v>
      </c>
      <c r="AH19" s="103" t="s">
        <v>148</v>
      </c>
      <c r="AI19" s="105" t="s">
        <v>148</v>
      </c>
      <c r="AJ19" s="105" t="s">
        <v>148</v>
      </c>
      <c r="AK19" s="113">
        <v>2</v>
      </c>
      <c r="AL19" s="105">
        <v>206</v>
      </c>
      <c r="AM19" s="1725">
        <v>52</v>
      </c>
      <c r="AN19" s="79" t="s">
        <v>148</v>
      </c>
      <c r="AO19" s="76" t="s">
        <v>148</v>
      </c>
      <c r="AP19" s="1726">
        <v>8</v>
      </c>
      <c r="AQ19" s="1726">
        <v>5</v>
      </c>
      <c r="AR19" s="76">
        <v>1796349</v>
      </c>
      <c r="AS19" s="473">
        <v>348.1</v>
      </c>
      <c r="AT19" s="76">
        <v>3365028</v>
      </c>
      <c r="AU19" s="184">
        <v>482</v>
      </c>
      <c r="AV19" s="79">
        <v>15</v>
      </c>
      <c r="AW19" s="76">
        <v>1</v>
      </c>
      <c r="AX19" s="76">
        <v>1</v>
      </c>
      <c r="AY19" s="1726">
        <v>8</v>
      </c>
      <c r="AZ19" s="76">
        <v>3</v>
      </c>
      <c r="BA19" s="76" t="s">
        <v>153</v>
      </c>
      <c r="BB19" s="76">
        <v>1</v>
      </c>
      <c r="BC19" s="76">
        <v>1</v>
      </c>
      <c r="BD19" s="76" t="s">
        <v>153</v>
      </c>
      <c r="BE19" s="76" t="s">
        <v>153</v>
      </c>
      <c r="BF19" s="1725">
        <v>18</v>
      </c>
      <c r="BG19" s="35"/>
      <c r="BH19" s="75">
        <v>6</v>
      </c>
      <c r="BI19" s="76">
        <v>32976</v>
      </c>
      <c r="BJ19" s="76">
        <v>1</v>
      </c>
      <c r="BK19" s="1726">
        <v>25659</v>
      </c>
      <c r="BL19" s="76">
        <v>16</v>
      </c>
      <c r="BM19" s="76">
        <v>30</v>
      </c>
      <c r="BN19" s="76">
        <v>296432</v>
      </c>
      <c r="BO19" s="76">
        <v>3</v>
      </c>
      <c r="BP19" s="76">
        <v>3329</v>
      </c>
      <c r="BQ19" s="76">
        <v>6</v>
      </c>
      <c r="BR19" s="1725">
        <v>35</v>
      </c>
      <c r="BS19" s="35"/>
      <c r="BT19" s="80">
        <v>1</v>
      </c>
      <c r="BU19" s="81">
        <v>2000</v>
      </c>
      <c r="BV19" s="723"/>
      <c r="BW19" s="75" t="s">
        <v>148</v>
      </c>
      <c r="BX19" s="76" t="s">
        <v>148</v>
      </c>
      <c r="BY19" s="76" t="s">
        <v>148</v>
      </c>
      <c r="BZ19" s="79">
        <v>190</v>
      </c>
      <c r="CA19" s="76">
        <v>8580</v>
      </c>
      <c r="CB19" s="76">
        <v>6324</v>
      </c>
      <c r="CC19" s="79">
        <v>4</v>
      </c>
      <c r="CD19" s="76">
        <v>217</v>
      </c>
      <c r="CE19" s="1725">
        <v>143</v>
      </c>
      <c r="CF19" s="35"/>
      <c r="CG19" s="75">
        <v>456</v>
      </c>
      <c r="CH19" s="76">
        <v>88</v>
      </c>
      <c r="CI19" s="76">
        <v>19</v>
      </c>
      <c r="CJ19" s="76">
        <v>19</v>
      </c>
      <c r="CK19" s="76">
        <v>4</v>
      </c>
      <c r="CL19" s="1726">
        <v>9</v>
      </c>
      <c r="CM19" s="1726" t="s">
        <v>148</v>
      </c>
      <c r="CN19" s="76">
        <v>114</v>
      </c>
      <c r="CO19" s="1726">
        <v>24684</v>
      </c>
      <c r="CP19" s="1726">
        <v>447</v>
      </c>
      <c r="CQ19" s="1726">
        <v>198</v>
      </c>
      <c r="CR19" s="1725">
        <v>148</v>
      </c>
      <c r="CS19" s="35"/>
      <c r="CT19" s="627">
        <v>215</v>
      </c>
      <c r="CU19" s="1379">
        <v>36</v>
      </c>
      <c r="CV19" s="1379">
        <v>4</v>
      </c>
      <c r="CW19" s="1379">
        <v>51</v>
      </c>
      <c r="CX19" s="1379">
        <v>44</v>
      </c>
      <c r="CY19" s="1727">
        <v>80</v>
      </c>
      <c r="CZ19" s="1727" t="s">
        <v>148</v>
      </c>
      <c r="DA19" s="628">
        <v>1476825.03</v>
      </c>
      <c r="DB19" s="1380">
        <v>30942.61</v>
      </c>
    </row>
    <row r="20" spans="1:106" ht="15.75" customHeight="1">
      <c r="A20" s="236" t="s">
        <v>166</v>
      </c>
      <c r="B20" s="640">
        <v>3</v>
      </c>
      <c r="C20" s="640">
        <v>150</v>
      </c>
      <c r="D20" s="640">
        <v>23</v>
      </c>
      <c r="E20" s="640">
        <v>8</v>
      </c>
      <c r="F20" s="640">
        <v>7</v>
      </c>
      <c r="G20" s="640">
        <v>770</v>
      </c>
      <c r="H20" s="640">
        <v>400</v>
      </c>
      <c r="I20" s="641">
        <v>116</v>
      </c>
      <c r="J20" s="554">
        <v>48</v>
      </c>
      <c r="K20" s="555">
        <v>15327</v>
      </c>
      <c r="L20" s="1539">
        <v>1234</v>
      </c>
      <c r="M20" s="555">
        <v>2</v>
      </c>
      <c r="N20" s="555">
        <v>948</v>
      </c>
      <c r="O20" s="555">
        <v>60</v>
      </c>
      <c r="P20" s="1539">
        <v>21</v>
      </c>
      <c r="Q20" s="555">
        <v>7929</v>
      </c>
      <c r="R20" s="555">
        <v>694</v>
      </c>
      <c r="S20" s="555">
        <v>2</v>
      </c>
      <c r="T20" s="555">
        <v>697</v>
      </c>
      <c r="U20" s="1431">
        <v>48</v>
      </c>
      <c r="V20" s="640" t="s">
        <v>153</v>
      </c>
      <c r="W20" s="1539" t="s">
        <v>153</v>
      </c>
      <c r="X20" s="1539" t="s">
        <v>153</v>
      </c>
      <c r="Y20" s="555" t="s">
        <v>153</v>
      </c>
      <c r="Z20" s="1539" t="s">
        <v>153</v>
      </c>
      <c r="AA20" s="1539" t="s">
        <v>153</v>
      </c>
      <c r="AB20" s="555">
        <v>1</v>
      </c>
      <c r="AC20" s="1539">
        <v>705</v>
      </c>
      <c r="AD20" s="1539">
        <v>59</v>
      </c>
      <c r="AE20" s="555" t="s">
        <v>427</v>
      </c>
      <c r="AF20" s="1539" t="s">
        <v>427</v>
      </c>
      <c r="AG20" s="1431" t="s">
        <v>427</v>
      </c>
      <c r="AH20" s="554" t="s">
        <v>153</v>
      </c>
      <c r="AI20" s="555" t="s">
        <v>153</v>
      </c>
      <c r="AJ20" s="555" t="s">
        <v>153</v>
      </c>
      <c r="AK20" s="640" t="s">
        <v>427</v>
      </c>
      <c r="AL20" s="555" t="s">
        <v>427</v>
      </c>
      <c r="AM20" s="1431" t="s">
        <v>427</v>
      </c>
      <c r="AN20" s="640" t="s">
        <v>202</v>
      </c>
      <c r="AO20" s="555">
        <v>1</v>
      </c>
      <c r="AP20" s="1539">
        <v>8</v>
      </c>
      <c r="AQ20" s="1539">
        <v>18</v>
      </c>
      <c r="AR20" s="555">
        <v>1073009</v>
      </c>
      <c r="AS20" s="1396">
        <v>324.8</v>
      </c>
      <c r="AT20" s="555">
        <v>1888112</v>
      </c>
      <c r="AU20" s="641">
        <v>32413</v>
      </c>
      <c r="AV20" s="640">
        <v>9</v>
      </c>
      <c r="AW20" s="555" t="s">
        <v>153</v>
      </c>
      <c r="AX20" s="555">
        <v>1</v>
      </c>
      <c r="AY20" s="1539">
        <v>6</v>
      </c>
      <c r="AZ20" s="555">
        <v>2</v>
      </c>
      <c r="BA20" s="555" t="s">
        <v>153</v>
      </c>
      <c r="BB20" s="555" t="s">
        <v>153</v>
      </c>
      <c r="BC20" s="555" t="s">
        <v>153</v>
      </c>
      <c r="BD20" s="555" t="s">
        <v>153</v>
      </c>
      <c r="BE20" s="555" t="s">
        <v>153</v>
      </c>
      <c r="BF20" s="1431">
        <v>26</v>
      </c>
      <c r="BG20" s="542"/>
      <c r="BH20" s="554">
        <v>5</v>
      </c>
      <c r="BI20" s="555">
        <v>20794.62</v>
      </c>
      <c r="BJ20" s="555">
        <v>4</v>
      </c>
      <c r="BK20" s="1539">
        <v>88392.8</v>
      </c>
      <c r="BL20" s="555">
        <v>10</v>
      </c>
      <c r="BM20" s="555">
        <v>17</v>
      </c>
      <c r="BN20" s="555">
        <v>271979.51</v>
      </c>
      <c r="BO20" s="555">
        <v>5</v>
      </c>
      <c r="BP20" s="555">
        <v>4866.55</v>
      </c>
      <c r="BQ20" s="555">
        <v>6</v>
      </c>
      <c r="BR20" s="1431">
        <v>44</v>
      </c>
      <c r="BS20" s="542"/>
      <c r="BT20" s="642">
        <v>2</v>
      </c>
      <c r="BU20" s="643">
        <v>1683</v>
      </c>
      <c r="BV20" s="726"/>
      <c r="BW20" s="554" t="s">
        <v>153</v>
      </c>
      <c r="BX20" s="555" t="s">
        <v>153</v>
      </c>
      <c r="BY20" s="555" t="s">
        <v>153</v>
      </c>
      <c r="BZ20" s="640">
        <v>38</v>
      </c>
      <c r="CA20" s="555">
        <v>2582</v>
      </c>
      <c r="CB20" s="555">
        <v>2387</v>
      </c>
      <c r="CC20" s="640">
        <v>47</v>
      </c>
      <c r="CD20" s="555">
        <v>3299</v>
      </c>
      <c r="CE20" s="1431">
        <v>2672</v>
      </c>
      <c r="CF20" s="542"/>
      <c r="CG20" s="554">
        <v>405</v>
      </c>
      <c r="CH20" s="555">
        <v>77</v>
      </c>
      <c r="CI20" s="555">
        <v>17</v>
      </c>
      <c r="CJ20" s="555">
        <v>17</v>
      </c>
      <c r="CK20" s="555">
        <v>5</v>
      </c>
      <c r="CL20" s="1539">
        <v>6</v>
      </c>
      <c r="CM20" s="1539" t="s">
        <v>153</v>
      </c>
      <c r="CN20" s="555">
        <v>92</v>
      </c>
      <c r="CO20" s="1539">
        <v>18951</v>
      </c>
      <c r="CP20" s="1539">
        <v>116</v>
      </c>
      <c r="CQ20" s="1539">
        <v>145</v>
      </c>
      <c r="CR20" s="1431">
        <v>78</v>
      </c>
      <c r="CS20" s="542"/>
      <c r="CT20" s="554">
        <v>87</v>
      </c>
      <c r="CU20" s="1539">
        <v>34</v>
      </c>
      <c r="CV20" s="1539">
        <v>6</v>
      </c>
      <c r="CW20" s="1539">
        <v>27</v>
      </c>
      <c r="CX20" s="1539">
        <v>5</v>
      </c>
      <c r="CY20" s="1722">
        <v>15</v>
      </c>
      <c r="CZ20" s="1722" t="s">
        <v>153</v>
      </c>
      <c r="DA20" s="555">
        <v>1289580</v>
      </c>
      <c r="DB20" s="1431">
        <v>137654</v>
      </c>
    </row>
    <row r="21" spans="1:106" ht="15.75" customHeight="1">
      <c r="A21" s="320" t="s">
        <v>167</v>
      </c>
      <c r="B21" s="75">
        <v>8</v>
      </c>
      <c r="C21" s="76">
        <v>275</v>
      </c>
      <c r="D21" s="79">
        <v>85</v>
      </c>
      <c r="E21" s="76">
        <v>7</v>
      </c>
      <c r="F21" s="76">
        <v>5</v>
      </c>
      <c r="G21" s="76">
        <v>847</v>
      </c>
      <c r="H21" s="76">
        <v>405</v>
      </c>
      <c r="I21" s="1725">
        <v>98</v>
      </c>
      <c r="J21" s="75">
        <v>58</v>
      </c>
      <c r="K21" s="76">
        <v>18459</v>
      </c>
      <c r="L21" s="76">
        <v>2077</v>
      </c>
      <c r="M21" s="76" t="s">
        <v>153</v>
      </c>
      <c r="N21" s="76" t="s">
        <v>153</v>
      </c>
      <c r="O21" s="76" t="s">
        <v>153</v>
      </c>
      <c r="P21" s="76">
        <v>25</v>
      </c>
      <c r="Q21" s="76">
        <v>9618</v>
      </c>
      <c r="R21" s="76">
        <v>1084</v>
      </c>
      <c r="S21" s="76" t="s">
        <v>153</v>
      </c>
      <c r="T21" s="76" t="s">
        <v>153</v>
      </c>
      <c r="U21" s="1725" t="s">
        <v>153</v>
      </c>
      <c r="V21" s="75" t="s">
        <v>148</v>
      </c>
      <c r="W21" s="76" t="s">
        <v>148</v>
      </c>
      <c r="X21" s="76" t="s">
        <v>148</v>
      </c>
      <c r="Y21" s="76" t="s">
        <v>148</v>
      </c>
      <c r="Z21" s="76" t="s">
        <v>148</v>
      </c>
      <c r="AA21" s="76" t="s">
        <v>148</v>
      </c>
      <c r="AB21" s="76">
        <v>1</v>
      </c>
      <c r="AC21" s="76">
        <v>834</v>
      </c>
      <c r="AD21" s="76">
        <v>56</v>
      </c>
      <c r="AE21" s="76">
        <v>12</v>
      </c>
      <c r="AF21" s="76">
        <v>10272</v>
      </c>
      <c r="AG21" s="1725">
        <v>789</v>
      </c>
      <c r="AH21" s="75" t="s">
        <v>148</v>
      </c>
      <c r="AI21" s="76" t="s">
        <v>148</v>
      </c>
      <c r="AJ21" s="76" t="s">
        <v>148</v>
      </c>
      <c r="AK21" s="76">
        <v>2</v>
      </c>
      <c r="AL21" s="76">
        <v>79</v>
      </c>
      <c r="AM21" s="1725">
        <v>26</v>
      </c>
      <c r="AN21" s="79" t="s">
        <v>148</v>
      </c>
      <c r="AO21" s="76">
        <v>1</v>
      </c>
      <c r="AP21" s="76">
        <v>5</v>
      </c>
      <c r="AQ21" s="76">
        <v>6</v>
      </c>
      <c r="AR21" s="76">
        <v>1211397</v>
      </c>
      <c r="AS21" s="473">
        <v>329.1</v>
      </c>
      <c r="AT21" s="76">
        <v>1940886</v>
      </c>
      <c r="AU21" s="1725" t="s">
        <v>153</v>
      </c>
      <c r="AV21" s="75">
        <v>18</v>
      </c>
      <c r="AW21" s="76">
        <v>2</v>
      </c>
      <c r="AX21" s="76">
        <v>1</v>
      </c>
      <c r="AY21" s="76">
        <v>8</v>
      </c>
      <c r="AZ21" s="76">
        <v>6</v>
      </c>
      <c r="BA21" s="76" t="s">
        <v>148</v>
      </c>
      <c r="BB21" s="76" t="s">
        <v>148</v>
      </c>
      <c r="BC21" s="76">
        <v>1</v>
      </c>
      <c r="BD21" s="76" t="s">
        <v>148</v>
      </c>
      <c r="BE21" s="76" t="s">
        <v>148</v>
      </c>
      <c r="BF21" s="1725">
        <v>45</v>
      </c>
      <c r="BG21" s="35"/>
      <c r="BH21" s="75">
        <v>11</v>
      </c>
      <c r="BI21" s="76">
        <v>53551</v>
      </c>
      <c r="BJ21" s="76">
        <v>3</v>
      </c>
      <c r="BK21" s="1726">
        <v>60830</v>
      </c>
      <c r="BL21" s="76">
        <v>8</v>
      </c>
      <c r="BM21" s="76">
        <v>9</v>
      </c>
      <c r="BN21" s="76">
        <v>216348</v>
      </c>
      <c r="BO21" s="76">
        <v>6</v>
      </c>
      <c r="BP21" s="76">
        <v>10259</v>
      </c>
      <c r="BQ21" s="76">
        <v>10</v>
      </c>
      <c r="BR21" s="1725">
        <v>79</v>
      </c>
      <c r="BS21" s="35"/>
      <c r="BT21" s="80">
        <v>2</v>
      </c>
      <c r="BU21" s="1731">
        <v>3962</v>
      </c>
      <c r="BV21" s="723"/>
      <c r="BW21" s="75">
        <v>4</v>
      </c>
      <c r="BX21" s="76">
        <v>210</v>
      </c>
      <c r="BY21" s="76">
        <v>211</v>
      </c>
      <c r="BZ21" s="76">
        <v>91</v>
      </c>
      <c r="CA21" s="76">
        <v>4006</v>
      </c>
      <c r="CB21" s="76">
        <v>3760</v>
      </c>
      <c r="CC21" s="76">
        <v>6</v>
      </c>
      <c r="CD21" s="76">
        <v>299</v>
      </c>
      <c r="CE21" s="1725">
        <v>303</v>
      </c>
      <c r="CF21" s="35"/>
      <c r="CG21" s="75">
        <v>384</v>
      </c>
      <c r="CH21" s="76">
        <v>66</v>
      </c>
      <c r="CI21" s="76">
        <v>17</v>
      </c>
      <c r="CJ21" s="76">
        <v>17</v>
      </c>
      <c r="CK21" s="76">
        <v>4</v>
      </c>
      <c r="CL21" s="76">
        <v>8</v>
      </c>
      <c r="CM21" s="76" t="s">
        <v>153</v>
      </c>
      <c r="CN21" s="76">
        <v>119</v>
      </c>
      <c r="CO21" s="76">
        <v>19647</v>
      </c>
      <c r="CP21" s="76">
        <v>262</v>
      </c>
      <c r="CQ21" s="1726">
        <v>126</v>
      </c>
      <c r="CR21" s="1725">
        <v>120</v>
      </c>
      <c r="CS21" s="35"/>
      <c r="CT21" s="627">
        <v>99</v>
      </c>
      <c r="CU21" s="628">
        <v>40</v>
      </c>
      <c r="CV21" s="628">
        <v>3</v>
      </c>
      <c r="CW21" s="628">
        <v>20</v>
      </c>
      <c r="CX21" s="628">
        <v>6</v>
      </c>
      <c r="CY21" s="1372">
        <v>30</v>
      </c>
      <c r="CZ21" s="1372" t="s">
        <v>153</v>
      </c>
      <c r="DA21" s="628">
        <v>1371819</v>
      </c>
      <c r="DB21" s="1380">
        <v>57131</v>
      </c>
    </row>
    <row r="22" spans="1:106" ht="15.75" customHeight="1">
      <c r="A22" s="236" t="s">
        <v>173</v>
      </c>
      <c r="B22" s="151" t="s">
        <v>153</v>
      </c>
      <c r="C22" s="150" t="s">
        <v>153</v>
      </c>
      <c r="D22" s="150" t="s">
        <v>153</v>
      </c>
      <c r="E22" s="153">
        <v>26</v>
      </c>
      <c r="F22" s="141" t="s">
        <v>153</v>
      </c>
      <c r="G22" s="153">
        <v>4243</v>
      </c>
      <c r="H22" s="141" t="s">
        <v>153</v>
      </c>
      <c r="I22" s="147">
        <v>409</v>
      </c>
      <c r="J22" s="140">
        <v>32</v>
      </c>
      <c r="K22" s="141">
        <v>17498</v>
      </c>
      <c r="L22" s="1713">
        <v>917</v>
      </c>
      <c r="M22" s="141">
        <v>1</v>
      </c>
      <c r="N22" s="141">
        <v>421</v>
      </c>
      <c r="O22" s="141">
        <v>28</v>
      </c>
      <c r="P22" s="1713">
        <v>22</v>
      </c>
      <c r="Q22" s="141">
        <v>8715</v>
      </c>
      <c r="R22" s="141">
        <v>574</v>
      </c>
      <c r="S22" s="141">
        <v>4</v>
      </c>
      <c r="T22" s="141">
        <v>1371</v>
      </c>
      <c r="U22" s="1712">
        <v>104</v>
      </c>
      <c r="V22" s="153" t="s">
        <v>148</v>
      </c>
      <c r="W22" s="141" t="s">
        <v>148</v>
      </c>
      <c r="X22" s="141" t="s">
        <v>148</v>
      </c>
      <c r="Y22" s="141" t="s">
        <v>153</v>
      </c>
      <c r="Z22" s="141" t="s">
        <v>153</v>
      </c>
      <c r="AA22" s="141" t="s">
        <v>153</v>
      </c>
      <c r="AB22" s="141">
        <v>1</v>
      </c>
      <c r="AC22" s="1713">
        <v>835</v>
      </c>
      <c r="AD22" s="1713">
        <v>57</v>
      </c>
      <c r="AE22" s="141">
        <v>14</v>
      </c>
      <c r="AF22" s="1732">
        <v>13319</v>
      </c>
      <c r="AG22" s="1712">
        <v>997</v>
      </c>
      <c r="AH22" s="140" t="s">
        <v>148</v>
      </c>
      <c r="AI22" s="141" t="s">
        <v>148</v>
      </c>
      <c r="AJ22" s="141" t="s">
        <v>148</v>
      </c>
      <c r="AK22" s="153">
        <v>1</v>
      </c>
      <c r="AL22" s="141">
        <v>129</v>
      </c>
      <c r="AM22" s="1712">
        <v>34</v>
      </c>
      <c r="AN22" s="153" t="s">
        <v>148</v>
      </c>
      <c r="AO22" s="141" t="s">
        <v>148</v>
      </c>
      <c r="AP22" s="1713">
        <v>4</v>
      </c>
      <c r="AQ22" s="1713">
        <v>4</v>
      </c>
      <c r="AR22" s="141">
        <v>882405</v>
      </c>
      <c r="AS22" s="475">
        <v>249.9</v>
      </c>
      <c r="AT22" s="141">
        <v>1448843</v>
      </c>
      <c r="AU22" s="147">
        <v>7767</v>
      </c>
      <c r="AV22" s="153">
        <v>5</v>
      </c>
      <c r="AW22" s="141" t="s">
        <v>153</v>
      </c>
      <c r="AX22" s="141" t="s">
        <v>153</v>
      </c>
      <c r="AY22" s="141">
        <v>3</v>
      </c>
      <c r="AZ22" s="141">
        <v>2</v>
      </c>
      <c r="BA22" s="141" t="s">
        <v>153</v>
      </c>
      <c r="BB22" s="141" t="s">
        <v>153</v>
      </c>
      <c r="BC22" s="141" t="s">
        <v>153</v>
      </c>
      <c r="BD22" s="141" t="s">
        <v>153</v>
      </c>
      <c r="BE22" s="141" t="s">
        <v>153</v>
      </c>
      <c r="BF22" s="1712">
        <v>20</v>
      </c>
      <c r="BG22" s="35"/>
      <c r="BH22" s="140">
        <v>3</v>
      </c>
      <c r="BI22" s="141">
        <v>12022</v>
      </c>
      <c r="BJ22" s="141">
        <v>1</v>
      </c>
      <c r="BK22" s="1713">
        <v>51000</v>
      </c>
      <c r="BL22" s="141">
        <v>1</v>
      </c>
      <c r="BM22" s="141">
        <v>1</v>
      </c>
      <c r="BN22" s="141">
        <v>16000</v>
      </c>
      <c r="BO22" s="141">
        <v>2</v>
      </c>
      <c r="BP22" s="141">
        <v>1770</v>
      </c>
      <c r="BQ22" s="141">
        <v>4</v>
      </c>
      <c r="BR22" s="1712">
        <v>20</v>
      </c>
      <c r="BS22" s="35"/>
      <c r="BT22" s="160">
        <v>5</v>
      </c>
      <c r="BU22" s="161">
        <v>1712</v>
      </c>
      <c r="BV22" s="723"/>
      <c r="BW22" s="140">
        <v>83</v>
      </c>
      <c r="BX22" s="141">
        <v>3197</v>
      </c>
      <c r="BY22" s="141">
        <v>3505</v>
      </c>
      <c r="BZ22" s="153" t="s">
        <v>153</v>
      </c>
      <c r="CA22" s="141" t="s">
        <v>153</v>
      </c>
      <c r="CB22" s="141" t="s">
        <v>153</v>
      </c>
      <c r="CC22" s="153">
        <v>4</v>
      </c>
      <c r="CD22" s="141">
        <v>136</v>
      </c>
      <c r="CE22" s="1712">
        <v>178</v>
      </c>
      <c r="CF22" s="35"/>
      <c r="CG22" s="140">
        <v>433</v>
      </c>
      <c r="CH22" s="141">
        <v>59</v>
      </c>
      <c r="CI22" s="141">
        <v>13</v>
      </c>
      <c r="CJ22" s="141">
        <v>13</v>
      </c>
      <c r="CK22" s="141">
        <v>4</v>
      </c>
      <c r="CL22" s="1713">
        <v>4</v>
      </c>
      <c r="CM22" s="1713" t="s">
        <v>153</v>
      </c>
      <c r="CN22" s="141">
        <v>99</v>
      </c>
      <c r="CO22" s="1713">
        <v>20522</v>
      </c>
      <c r="CP22" s="1713">
        <v>262</v>
      </c>
      <c r="CQ22" s="1713">
        <v>105</v>
      </c>
      <c r="CR22" s="1712">
        <v>63</v>
      </c>
      <c r="CS22" s="35"/>
      <c r="CT22" s="576">
        <v>27</v>
      </c>
      <c r="CU22" s="1538">
        <v>5</v>
      </c>
      <c r="CV22" s="1538">
        <v>1</v>
      </c>
      <c r="CW22" s="1538">
        <v>8</v>
      </c>
      <c r="CX22" s="1538">
        <v>7</v>
      </c>
      <c r="CY22" s="1714">
        <v>6</v>
      </c>
      <c r="CZ22" s="1714" t="s">
        <v>148</v>
      </c>
      <c r="DA22" s="577">
        <v>781174.42</v>
      </c>
      <c r="DB22" s="1442">
        <v>4019.1</v>
      </c>
    </row>
    <row r="23" spans="1:106" ht="15.75" customHeight="1">
      <c r="A23" s="320" t="s">
        <v>267</v>
      </c>
      <c r="B23" s="75">
        <v>2</v>
      </c>
      <c r="C23" s="79">
        <v>80</v>
      </c>
      <c r="D23" s="79">
        <v>15</v>
      </c>
      <c r="E23" s="79">
        <v>37</v>
      </c>
      <c r="F23" s="79">
        <v>37</v>
      </c>
      <c r="G23" s="79">
        <v>5875</v>
      </c>
      <c r="H23" s="79">
        <v>4317</v>
      </c>
      <c r="I23" s="184">
        <v>469</v>
      </c>
      <c r="J23" s="75">
        <v>52</v>
      </c>
      <c r="K23" s="76">
        <v>29301</v>
      </c>
      <c r="L23" s="1726">
        <v>1569</v>
      </c>
      <c r="M23" s="76" t="s">
        <v>153</v>
      </c>
      <c r="N23" s="76" t="s">
        <v>153</v>
      </c>
      <c r="O23" s="76" t="s">
        <v>153</v>
      </c>
      <c r="P23" s="1726">
        <v>27</v>
      </c>
      <c r="Q23" s="76">
        <v>13804</v>
      </c>
      <c r="R23" s="76">
        <v>866</v>
      </c>
      <c r="S23" s="76" t="s">
        <v>153</v>
      </c>
      <c r="T23" s="76" t="s">
        <v>153</v>
      </c>
      <c r="U23" s="1725" t="s">
        <v>153</v>
      </c>
      <c r="V23" s="75" t="s">
        <v>153</v>
      </c>
      <c r="W23" s="1726" t="s">
        <v>153</v>
      </c>
      <c r="X23" s="1726" t="s">
        <v>153</v>
      </c>
      <c r="Y23" s="76" t="s">
        <v>153</v>
      </c>
      <c r="Z23" s="76" t="s">
        <v>153</v>
      </c>
      <c r="AA23" s="76" t="s">
        <v>153</v>
      </c>
      <c r="AB23" s="76">
        <v>1</v>
      </c>
      <c r="AC23" s="1726">
        <v>1280</v>
      </c>
      <c r="AD23" s="1726">
        <v>128</v>
      </c>
      <c r="AE23" s="76">
        <v>6</v>
      </c>
      <c r="AF23" s="76">
        <v>5136</v>
      </c>
      <c r="AG23" s="76">
        <v>398</v>
      </c>
      <c r="AH23" s="76">
        <v>1</v>
      </c>
      <c r="AI23" s="76">
        <v>199</v>
      </c>
      <c r="AJ23" s="76">
        <v>24</v>
      </c>
      <c r="AK23" s="76">
        <v>1</v>
      </c>
      <c r="AL23" s="76">
        <v>56</v>
      </c>
      <c r="AM23" s="1725">
        <v>24</v>
      </c>
      <c r="AN23" s="79" t="s">
        <v>153</v>
      </c>
      <c r="AO23" s="76" t="s">
        <v>153</v>
      </c>
      <c r="AP23" s="628">
        <v>2</v>
      </c>
      <c r="AQ23" s="1726">
        <v>7</v>
      </c>
      <c r="AR23" s="76">
        <v>1401132</v>
      </c>
      <c r="AS23" s="473">
        <v>231.6</v>
      </c>
      <c r="AT23" s="76">
        <v>2788015</v>
      </c>
      <c r="AU23" s="184">
        <v>11505</v>
      </c>
      <c r="AV23" s="79">
        <v>7</v>
      </c>
      <c r="AW23" s="76" t="s">
        <v>153</v>
      </c>
      <c r="AX23" s="76">
        <v>1</v>
      </c>
      <c r="AY23" s="1726">
        <v>4</v>
      </c>
      <c r="AZ23" s="76">
        <v>1</v>
      </c>
      <c r="BA23" s="76" t="s">
        <v>153</v>
      </c>
      <c r="BB23" s="76" t="s">
        <v>153</v>
      </c>
      <c r="BC23" s="76">
        <v>1</v>
      </c>
      <c r="BD23" s="76" t="s">
        <v>153</v>
      </c>
      <c r="BE23" s="76" t="s">
        <v>153</v>
      </c>
      <c r="BF23" s="1725">
        <v>33</v>
      </c>
      <c r="BG23" s="35"/>
      <c r="BH23" s="75">
        <v>11</v>
      </c>
      <c r="BI23" s="76">
        <v>12858</v>
      </c>
      <c r="BJ23" s="76">
        <v>1</v>
      </c>
      <c r="BK23" s="1726">
        <v>19800</v>
      </c>
      <c r="BL23" s="76">
        <v>8</v>
      </c>
      <c r="BM23" s="76">
        <v>11</v>
      </c>
      <c r="BN23" s="76">
        <v>98065</v>
      </c>
      <c r="BO23" s="76">
        <v>7</v>
      </c>
      <c r="BP23" s="76">
        <v>5366</v>
      </c>
      <c r="BQ23" s="76">
        <v>8</v>
      </c>
      <c r="BR23" s="1725">
        <v>29</v>
      </c>
      <c r="BS23" s="35"/>
      <c r="BT23" s="80">
        <v>7</v>
      </c>
      <c r="BU23" s="380">
        <v>2002</v>
      </c>
      <c r="BV23" s="723"/>
      <c r="BW23" s="75" t="s">
        <v>153</v>
      </c>
      <c r="BX23" s="76" t="s">
        <v>153</v>
      </c>
      <c r="BY23" s="76" t="s">
        <v>153</v>
      </c>
      <c r="BZ23" s="79">
        <v>52</v>
      </c>
      <c r="CA23" s="76">
        <v>5777</v>
      </c>
      <c r="CB23" s="76">
        <v>5777</v>
      </c>
      <c r="CC23" s="79">
        <v>4</v>
      </c>
      <c r="CD23" s="76">
        <v>163</v>
      </c>
      <c r="CE23" s="1725">
        <v>96</v>
      </c>
      <c r="CF23" s="35"/>
      <c r="CG23" s="75">
        <v>591</v>
      </c>
      <c r="CH23" s="76">
        <v>52</v>
      </c>
      <c r="CI23" s="76">
        <v>19</v>
      </c>
      <c r="CJ23" s="76">
        <v>19</v>
      </c>
      <c r="CK23" s="76">
        <v>3</v>
      </c>
      <c r="CL23" s="1726">
        <v>10</v>
      </c>
      <c r="CM23" s="1726" t="s">
        <v>153</v>
      </c>
      <c r="CN23" s="76">
        <v>126</v>
      </c>
      <c r="CO23" s="1726">
        <v>33289</v>
      </c>
      <c r="CP23" s="1726">
        <v>350</v>
      </c>
      <c r="CQ23" s="1726">
        <v>124</v>
      </c>
      <c r="CR23" s="1725">
        <v>91</v>
      </c>
      <c r="CS23" s="35"/>
      <c r="CT23" s="627">
        <v>85</v>
      </c>
      <c r="CU23" s="1379">
        <v>5</v>
      </c>
      <c r="CV23" s="1379">
        <v>1</v>
      </c>
      <c r="CW23" s="1379">
        <v>34</v>
      </c>
      <c r="CX23" s="1379">
        <v>4</v>
      </c>
      <c r="CY23" s="1727">
        <v>18</v>
      </c>
      <c r="CZ23" s="1727">
        <v>23</v>
      </c>
      <c r="DA23" s="628">
        <v>1375685</v>
      </c>
      <c r="DB23" s="1380">
        <v>91584</v>
      </c>
    </row>
    <row r="24" spans="1:106" ht="15.75" customHeight="1">
      <c r="A24" s="236" t="s">
        <v>178</v>
      </c>
      <c r="B24" s="140" t="s">
        <v>148</v>
      </c>
      <c r="C24" s="153" t="s">
        <v>148</v>
      </c>
      <c r="D24" s="153" t="s">
        <v>148</v>
      </c>
      <c r="E24" s="153">
        <v>20</v>
      </c>
      <c r="F24" s="153">
        <v>1</v>
      </c>
      <c r="G24" s="153">
        <v>4259</v>
      </c>
      <c r="H24" s="153">
        <v>110</v>
      </c>
      <c r="I24" s="147">
        <v>351</v>
      </c>
      <c r="J24" s="140">
        <v>29</v>
      </c>
      <c r="K24" s="141">
        <v>17538</v>
      </c>
      <c r="L24" s="1713">
        <v>903</v>
      </c>
      <c r="M24" s="141" t="s">
        <v>148</v>
      </c>
      <c r="N24" s="141" t="s">
        <v>148</v>
      </c>
      <c r="O24" s="141" t="s">
        <v>148</v>
      </c>
      <c r="P24" s="1713">
        <v>15</v>
      </c>
      <c r="Q24" s="141">
        <v>8711</v>
      </c>
      <c r="R24" s="141">
        <v>527</v>
      </c>
      <c r="S24" s="141">
        <v>1</v>
      </c>
      <c r="T24" s="141">
        <v>510</v>
      </c>
      <c r="U24" s="1712">
        <v>21</v>
      </c>
      <c r="V24" s="153" t="s">
        <v>148</v>
      </c>
      <c r="W24" s="1713" t="s">
        <v>148</v>
      </c>
      <c r="X24" s="1713" t="s">
        <v>148</v>
      </c>
      <c r="Y24" s="141" t="s">
        <v>148</v>
      </c>
      <c r="Z24" s="1713" t="s">
        <v>148</v>
      </c>
      <c r="AA24" s="1713" t="s">
        <v>148</v>
      </c>
      <c r="AB24" s="141" t="s">
        <v>148</v>
      </c>
      <c r="AC24" s="1713" t="s">
        <v>148</v>
      </c>
      <c r="AD24" s="1713" t="s">
        <v>148</v>
      </c>
      <c r="AE24" s="141">
        <v>7</v>
      </c>
      <c r="AF24" s="141">
        <v>8166</v>
      </c>
      <c r="AG24" s="1712">
        <v>509</v>
      </c>
      <c r="AH24" s="140" t="s">
        <v>148</v>
      </c>
      <c r="AI24" s="141" t="s">
        <v>148</v>
      </c>
      <c r="AJ24" s="141" t="s">
        <v>148</v>
      </c>
      <c r="AK24" s="141">
        <v>1</v>
      </c>
      <c r="AL24" s="141">
        <v>111</v>
      </c>
      <c r="AM24" s="1712">
        <v>15</v>
      </c>
      <c r="AN24" s="153" t="s">
        <v>148</v>
      </c>
      <c r="AO24" s="141" t="s">
        <v>148</v>
      </c>
      <c r="AP24" s="1713">
        <v>2</v>
      </c>
      <c r="AQ24" s="1713">
        <v>1</v>
      </c>
      <c r="AR24" s="141">
        <v>682051</v>
      </c>
      <c r="AS24" s="476">
        <v>198.4</v>
      </c>
      <c r="AT24" s="141">
        <v>1569062</v>
      </c>
      <c r="AU24" s="147">
        <v>6365</v>
      </c>
      <c r="AV24" s="245" t="s">
        <v>153</v>
      </c>
      <c r="AW24" s="141" t="s">
        <v>153</v>
      </c>
      <c r="AX24" s="141">
        <v>1</v>
      </c>
      <c r="AY24" s="1713" t="s">
        <v>153</v>
      </c>
      <c r="AZ24" s="141" t="s">
        <v>153</v>
      </c>
      <c r="BA24" s="141" t="s">
        <v>153</v>
      </c>
      <c r="BB24" s="141" t="s">
        <v>153</v>
      </c>
      <c r="BC24" s="141" t="s">
        <v>153</v>
      </c>
      <c r="BD24" s="141" t="s">
        <v>153</v>
      </c>
      <c r="BE24" s="141" t="s">
        <v>153</v>
      </c>
      <c r="BF24" s="1712">
        <v>13</v>
      </c>
      <c r="BG24" s="35"/>
      <c r="BH24" s="140">
        <v>4</v>
      </c>
      <c r="BI24" s="141">
        <v>18603</v>
      </c>
      <c r="BJ24" s="141">
        <v>1</v>
      </c>
      <c r="BK24" s="1713">
        <v>39102</v>
      </c>
      <c r="BL24" s="141">
        <v>7</v>
      </c>
      <c r="BM24" s="141">
        <v>7</v>
      </c>
      <c r="BN24" s="141">
        <v>71717</v>
      </c>
      <c r="BO24" s="141">
        <v>1</v>
      </c>
      <c r="BP24" s="141">
        <v>553</v>
      </c>
      <c r="BQ24" s="141">
        <v>7</v>
      </c>
      <c r="BR24" s="1712">
        <v>33</v>
      </c>
      <c r="BS24" s="35"/>
      <c r="BT24" s="160">
        <v>14</v>
      </c>
      <c r="BU24" s="161">
        <v>1675</v>
      </c>
      <c r="BV24" s="723"/>
      <c r="BW24" s="140">
        <v>42</v>
      </c>
      <c r="BX24" s="141">
        <v>2764</v>
      </c>
      <c r="BY24" s="141">
        <v>2693</v>
      </c>
      <c r="BZ24" s="153">
        <v>10</v>
      </c>
      <c r="CA24" s="141">
        <v>590</v>
      </c>
      <c r="CB24" s="141">
        <v>552</v>
      </c>
      <c r="CC24" s="153">
        <v>2</v>
      </c>
      <c r="CD24" s="141">
        <v>95</v>
      </c>
      <c r="CE24" s="1712">
        <v>75</v>
      </c>
      <c r="CF24" s="35"/>
      <c r="CG24" s="140">
        <v>324</v>
      </c>
      <c r="CH24" s="141">
        <v>39</v>
      </c>
      <c r="CI24" s="141">
        <v>11</v>
      </c>
      <c r="CJ24" s="141">
        <v>11</v>
      </c>
      <c r="CK24" s="141">
        <v>1</v>
      </c>
      <c r="CL24" s="1713">
        <v>5</v>
      </c>
      <c r="CM24" s="1713" t="s">
        <v>148</v>
      </c>
      <c r="CN24" s="141">
        <v>75</v>
      </c>
      <c r="CO24" s="1713">
        <v>18316</v>
      </c>
      <c r="CP24" s="1713">
        <v>224</v>
      </c>
      <c r="CQ24" s="1713">
        <v>110</v>
      </c>
      <c r="CR24" s="1712">
        <v>89</v>
      </c>
      <c r="CS24" s="35"/>
      <c r="CT24" s="576">
        <v>34</v>
      </c>
      <c r="CU24" s="1538">
        <v>11</v>
      </c>
      <c r="CV24" s="1538" t="s">
        <v>153</v>
      </c>
      <c r="CW24" s="1538">
        <v>4</v>
      </c>
      <c r="CX24" s="1538">
        <v>13</v>
      </c>
      <c r="CY24" s="1714">
        <v>6</v>
      </c>
      <c r="CZ24" s="1714" t="s">
        <v>153</v>
      </c>
      <c r="DA24" s="577">
        <v>603124</v>
      </c>
      <c r="DB24" s="1442">
        <v>49845</v>
      </c>
    </row>
    <row r="25" spans="1:106" ht="15.75" customHeight="1">
      <c r="A25" s="320" t="s">
        <v>179</v>
      </c>
      <c r="B25" s="103" t="s">
        <v>148</v>
      </c>
      <c r="C25" s="113" t="s">
        <v>148</v>
      </c>
      <c r="D25" s="113" t="s">
        <v>148</v>
      </c>
      <c r="E25" s="113">
        <v>40</v>
      </c>
      <c r="F25" s="113">
        <v>6</v>
      </c>
      <c r="G25" s="113">
        <v>6924</v>
      </c>
      <c r="H25" s="113">
        <v>718</v>
      </c>
      <c r="I25" s="119">
        <v>585</v>
      </c>
      <c r="J25" s="75">
        <v>55</v>
      </c>
      <c r="K25" s="76">
        <v>33175</v>
      </c>
      <c r="L25" s="1726">
        <v>1653</v>
      </c>
      <c r="M25" s="105">
        <v>1</v>
      </c>
      <c r="N25" s="105">
        <v>437</v>
      </c>
      <c r="O25" s="105">
        <v>21</v>
      </c>
      <c r="P25" s="1723">
        <v>27</v>
      </c>
      <c r="Q25" s="76">
        <v>15640</v>
      </c>
      <c r="R25" s="76">
        <v>926</v>
      </c>
      <c r="S25" s="105">
        <v>1</v>
      </c>
      <c r="T25" s="105">
        <v>710</v>
      </c>
      <c r="U25" s="1724">
        <v>34</v>
      </c>
      <c r="V25" s="113" t="s">
        <v>148</v>
      </c>
      <c r="W25" s="1723" t="s">
        <v>148</v>
      </c>
      <c r="X25" s="1723" t="s">
        <v>148</v>
      </c>
      <c r="Y25" s="105" t="s">
        <v>148</v>
      </c>
      <c r="Z25" s="1723" t="s">
        <v>148</v>
      </c>
      <c r="AA25" s="1723" t="s">
        <v>148</v>
      </c>
      <c r="AB25" s="105">
        <v>1</v>
      </c>
      <c r="AC25" s="1723">
        <v>1191</v>
      </c>
      <c r="AD25" s="1723">
        <v>90</v>
      </c>
      <c r="AE25" s="105">
        <v>13</v>
      </c>
      <c r="AF25" s="105">
        <v>12092</v>
      </c>
      <c r="AG25" s="1724" t="s">
        <v>181</v>
      </c>
      <c r="AH25" s="103" t="s">
        <v>148</v>
      </c>
      <c r="AI25" s="105" t="s">
        <v>148</v>
      </c>
      <c r="AJ25" s="105" t="s">
        <v>148</v>
      </c>
      <c r="AK25" s="105">
        <v>3</v>
      </c>
      <c r="AL25" s="105">
        <v>393</v>
      </c>
      <c r="AM25" s="1724" t="s">
        <v>181</v>
      </c>
      <c r="AN25" s="113" t="s">
        <v>148</v>
      </c>
      <c r="AO25" s="105" t="s">
        <v>148</v>
      </c>
      <c r="AP25" s="1723">
        <v>4</v>
      </c>
      <c r="AQ25" s="1723">
        <v>4</v>
      </c>
      <c r="AR25" s="105">
        <v>1677526</v>
      </c>
      <c r="AS25" s="104">
        <v>259.5</v>
      </c>
      <c r="AT25" s="105">
        <v>2719871</v>
      </c>
      <c r="AU25" s="119">
        <v>11737</v>
      </c>
      <c r="AV25" s="113">
        <v>2</v>
      </c>
      <c r="AW25" s="105" t="s">
        <v>148</v>
      </c>
      <c r="AX25" s="105" t="s">
        <v>148</v>
      </c>
      <c r="AY25" s="1723">
        <v>2</v>
      </c>
      <c r="AZ25" s="105" t="s">
        <v>148</v>
      </c>
      <c r="BA25" s="105" t="s">
        <v>148</v>
      </c>
      <c r="BB25" s="105" t="s">
        <v>148</v>
      </c>
      <c r="BC25" s="105" t="s">
        <v>148</v>
      </c>
      <c r="BD25" s="105" t="s">
        <v>148</v>
      </c>
      <c r="BE25" s="105" t="s">
        <v>148</v>
      </c>
      <c r="BF25" s="1724">
        <v>26</v>
      </c>
      <c r="BG25" s="35"/>
      <c r="BH25" s="75">
        <v>2</v>
      </c>
      <c r="BI25" s="76">
        <v>26493</v>
      </c>
      <c r="BJ25" s="76">
        <v>1</v>
      </c>
      <c r="BK25" s="1726">
        <v>23570</v>
      </c>
      <c r="BL25" s="76">
        <v>3</v>
      </c>
      <c r="BM25" s="76">
        <v>4</v>
      </c>
      <c r="BN25" s="76">
        <v>38195</v>
      </c>
      <c r="BO25" s="76">
        <v>2</v>
      </c>
      <c r="BP25" s="76">
        <v>15053</v>
      </c>
      <c r="BQ25" s="76">
        <v>6</v>
      </c>
      <c r="BR25" s="1725">
        <v>35</v>
      </c>
      <c r="BS25" s="35"/>
      <c r="BT25" s="117">
        <v>1</v>
      </c>
      <c r="BU25" s="118">
        <v>1000</v>
      </c>
      <c r="BV25" s="723"/>
      <c r="BW25" s="103">
        <v>104</v>
      </c>
      <c r="BX25" s="105">
        <v>5568</v>
      </c>
      <c r="BY25" s="105">
        <v>5654</v>
      </c>
      <c r="BZ25" s="79" t="s">
        <v>153</v>
      </c>
      <c r="CA25" s="76" t="s">
        <v>153</v>
      </c>
      <c r="CB25" s="76" t="s">
        <v>153</v>
      </c>
      <c r="CC25" s="113">
        <v>6</v>
      </c>
      <c r="CD25" s="206">
        <v>230</v>
      </c>
      <c r="CE25" s="1729">
        <v>172</v>
      </c>
      <c r="CF25" s="35"/>
      <c r="CG25" s="103">
        <v>661</v>
      </c>
      <c r="CH25" s="105">
        <v>84</v>
      </c>
      <c r="CI25" s="628">
        <v>22</v>
      </c>
      <c r="CJ25" s="628">
        <v>22</v>
      </c>
      <c r="CK25" s="628">
        <v>3</v>
      </c>
      <c r="CL25" s="1379">
        <v>8</v>
      </c>
      <c r="CM25" s="1379">
        <v>3</v>
      </c>
      <c r="CN25" s="105">
        <v>109</v>
      </c>
      <c r="CO25" s="1723">
        <v>39343</v>
      </c>
      <c r="CP25" s="1723">
        <v>483</v>
      </c>
      <c r="CQ25" s="1723">
        <v>143</v>
      </c>
      <c r="CR25" s="1724">
        <v>213</v>
      </c>
      <c r="CS25" s="35"/>
      <c r="CT25" s="690">
        <v>74</v>
      </c>
      <c r="CU25" s="1556">
        <v>3</v>
      </c>
      <c r="CV25" s="1556" t="s">
        <v>148</v>
      </c>
      <c r="CW25" s="1556">
        <v>44</v>
      </c>
      <c r="CX25" s="1556">
        <v>8</v>
      </c>
      <c r="CY25" s="1733">
        <v>19</v>
      </c>
      <c r="CZ25" s="1733" t="s">
        <v>148</v>
      </c>
      <c r="DA25" s="689">
        <v>1174113.7099999997</v>
      </c>
      <c r="DB25" s="1558">
        <v>56980.900000000009</v>
      </c>
    </row>
    <row r="26" spans="1:106" ht="15.75" customHeight="1">
      <c r="A26" s="236" t="s">
        <v>182</v>
      </c>
      <c r="B26" s="140" t="s">
        <v>153</v>
      </c>
      <c r="C26" s="153" t="s">
        <v>153</v>
      </c>
      <c r="D26" s="153" t="s">
        <v>153</v>
      </c>
      <c r="E26" s="153">
        <v>20</v>
      </c>
      <c r="F26" s="153">
        <v>20</v>
      </c>
      <c r="G26" s="153">
        <v>4030</v>
      </c>
      <c r="H26" s="153">
        <v>454</v>
      </c>
      <c r="I26" s="147">
        <v>577</v>
      </c>
      <c r="J26" s="140">
        <v>42</v>
      </c>
      <c r="K26" s="141">
        <v>21948</v>
      </c>
      <c r="L26" s="1713">
        <v>1208</v>
      </c>
      <c r="M26" s="141" t="s">
        <v>153</v>
      </c>
      <c r="N26" s="141" t="s">
        <v>153</v>
      </c>
      <c r="O26" s="141" t="s">
        <v>153</v>
      </c>
      <c r="P26" s="1713">
        <v>21</v>
      </c>
      <c r="Q26" s="141">
        <v>10538</v>
      </c>
      <c r="R26" s="141">
        <v>647</v>
      </c>
      <c r="S26" s="141" t="s">
        <v>153</v>
      </c>
      <c r="T26" s="141" t="s">
        <v>153</v>
      </c>
      <c r="U26" s="1712" t="s">
        <v>153</v>
      </c>
      <c r="V26" s="153" t="s">
        <v>153</v>
      </c>
      <c r="W26" s="153" t="s">
        <v>153</v>
      </c>
      <c r="X26" s="153" t="s">
        <v>153</v>
      </c>
      <c r="Y26" s="141" t="s">
        <v>153</v>
      </c>
      <c r="Z26" s="1713" t="s">
        <v>153</v>
      </c>
      <c r="AA26" s="1713" t="s">
        <v>153</v>
      </c>
      <c r="AB26" s="141">
        <v>1</v>
      </c>
      <c r="AC26" s="1713">
        <v>891</v>
      </c>
      <c r="AD26" s="1713">
        <v>66</v>
      </c>
      <c r="AE26" s="141" t="s">
        <v>153</v>
      </c>
      <c r="AF26" s="141" t="s">
        <v>153</v>
      </c>
      <c r="AG26" s="1712" t="s">
        <v>153</v>
      </c>
      <c r="AH26" s="140" t="s">
        <v>153</v>
      </c>
      <c r="AI26" s="141" t="s">
        <v>153</v>
      </c>
      <c r="AJ26" s="153" t="s">
        <v>153</v>
      </c>
      <c r="AK26" s="141" t="s">
        <v>153</v>
      </c>
      <c r="AL26" s="141" t="s">
        <v>153</v>
      </c>
      <c r="AM26" s="1712" t="s">
        <v>153</v>
      </c>
      <c r="AN26" s="153" t="s">
        <v>153</v>
      </c>
      <c r="AO26" s="141" t="s">
        <v>153</v>
      </c>
      <c r="AP26" s="1713" t="s">
        <v>153</v>
      </c>
      <c r="AQ26" s="1713">
        <v>18</v>
      </c>
      <c r="AR26" s="141">
        <v>840217</v>
      </c>
      <c r="AS26" s="475">
        <f>AR26/4341</f>
        <v>193.55378944943561</v>
      </c>
      <c r="AT26" s="141">
        <v>1755130</v>
      </c>
      <c r="AU26" s="147">
        <f>10817+28</f>
        <v>10845</v>
      </c>
      <c r="AV26" s="153" t="s">
        <v>153</v>
      </c>
      <c r="AW26" s="141" t="s">
        <v>153</v>
      </c>
      <c r="AX26" s="141" t="s">
        <v>153</v>
      </c>
      <c r="AY26" s="1713" t="s">
        <v>153</v>
      </c>
      <c r="AZ26" s="141" t="s">
        <v>153</v>
      </c>
      <c r="BA26" s="141" t="s">
        <v>153</v>
      </c>
      <c r="BB26" s="141" t="s">
        <v>153</v>
      </c>
      <c r="BC26" s="141" t="s">
        <v>153</v>
      </c>
      <c r="BD26" s="141" t="s">
        <v>153</v>
      </c>
      <c r="BE26" s="141" t="s">
        <v>153</v>
      </c>
      <c r="BF26" s="1712">
        <v>1</v>
      </c>
      <c r="BG26" s="35"/>
      <c r="BH26" s="140">
        <v>2</v>
      </c>
      <c r="BI26" s="141">
        <v>12295</v>
      </c>
      <c r="BJ26" s="141" t="s">
        <v>153</v>
      </c>
      <c r="BK26" s="1713" t="s">
        <v>153</v>
      </c>
      <c r="BL26" s="141">
        <v>6</v>
      </c>
      <c r="BM26" s="141">
        <v>12</v>
      </c>
      <c r="BN26" s="141">
        <v>100843</v>
      </c>
      <c r="BO26" s="141">
        <v>6</v>
      </c>
      <c r="BP26" s="141">
        <v>5527</v>
      </c>
      <c r="BQ26" s="241">
        <v>12</v>
      </c>
      <c r="BR26" s="1721">
        <v>55</v>
      </c>
      <c r="BS26" s="35"/>
      <c r="BT26" s="160">
        <v>1</v>
      </c>
      <c r="BU26" s="161">
        <v>1338</v>
      </c>
      <c r="BV26" s="723"/>
      <c r="BW26" s="140">
        <v>43</v>
      </c>
      <c r="BX26" s="141">
        <v>4002</v>
      </c>
      <c r="BY26" s="141">
        <v>4066</v>
      </c>
      <c r="BZ26" s="153" t="s">
        <v>153</v>
      </c>
      <c r="CA26" s="141" t="s">
        <v>153</v>
      </c>
      <c r="CB26" s="141" t="s">
        <v>153</v>
      </c>
      <c r="CC26" s="153">
        <v>3</v>
      </c>
      <c r="CD26" s="141">
        <v>97</v>
      </c>
      <c r="CE26" s="1712">
        <v>86</v>
      </c>
      <c r="CF26" s="35"/>
      <c r="CG26" s="140">
        <v>465</v>
      </c>
      <c r="CH26" s="141">
        <v>75</v>
      </c>
      <c r="CI26" s="141">
        <v>17</v>
      </c>
      <c r="CJ26" s="141">
        <v>17</v>
      </c>
      <c r="CK26" s="141">
        <v>4</v>
      </c>
      <c r="CL26" s="1713">
        <v>7</v>
      </c>
      <c r="CM26" s="153" t="s">
        <v>153</v>
      </c>
      <c r="CN26" s="141">
        <v>77</v>
      </c>
      <c r="CO26" s="1713">
        <v>24983</v>
      </c>
      <c r="CP26" s="1713">
        <v>495</v>
      </c>
      <c r="CQ26" s="1713">
        <v>143</v>
      </c>
      <c r="CR26" s="1712">
        <v>109</v>
      </c>
      <c r="CS26" s="35"/>
      <c r="CT26" s="554">
        <v>79</v>
      </c>
      <c r="CU26" s="1538">
        <v>26</v>
      </c>
      <c r="CV26" s="1538">
        <v>2</v>
      </c>
      <c r="CW26" s="1538">
        <v>37</v>
      </c>
      <c r="CX26" s="1538">
        <v>8</v>
      </c>
      <c r="CY26" s="1722">
        <v>6</v>
      </c>
      <c r="CZ26" s="1714" t="s">
        <v>148</v>
      </c>
      <c r="DA26" s="577">
        <v>820363.24</v>
      </c>
      <c r="DB26" s="1442">
        <v>6988.79</v>
      </c>
    </row>
    <row r="27" spans="1:106" ht="15.75" customHeight="1">
      <c r="A27" s="320" t="s">
        <v>184</v>
      </c>
      <c r="B27" s="75" t="s">
        <v>153</v>
      </c>
      <c r="C27" s="79" t="s">
        <v>153</v>
      </c>
      <c r="D27" s="79" t="s">
        <v>153</v>
      </c>
      <c r="E27" s="79">
        <v>30</v>
      </c>
      <c r="F27" s="79">
        <v>8</v>
      </c>
      <c r="G27" s="79">
        <v>4799</v>
      </c>
      <c r="H27" s="79">
        <v>1071</v>
      </c>
      <c r="I27" s="1725">
        <v>561</v>
      </c>
      <c r="J27" s="75">
        <v>69</v>
      </c>
      <c r="K27" s="76">
        <v>24970</v>
      </c>
      <c r="L27" s="1726">
        <v>1822</v>
      </c>
      <c r="M27" s="76" t="s">
        <v>153</v>
      </c>
      <c r="N27" s="76" t="s">
        <v>153</v>
      </c>
      <c r="O27" s="76" t="s">
        <v>153</v>
      </c>
      <c r="P27" s="1726">
        <v>37</v>
      </c>
      <c r="Q27" s="76">
        <v>12626</v>
      </c>
      <c r="R27" s="76">
        <v>970</v>
      </c>
      <c r="S27" s="76">
        <v>9</v>
      </c>
      <c r="T27" s="76">
        <v>2517</v>
      </c>
      <c r="U27" s="1725">
        <v>169</v>
      </c>
      <c r="V27" s="35">
        <v>1</v>
      </c>
      <c r="W27" s="76">
        <v>1214</v>
      </c>
      <c r="X27" s="76">
        <v>91</v>
      </c>
      <c r="Y27" s="76" t="s">
        <v>148</v>
      </c>
      <c r="Z27" s="76" t="s">
        <v>148</v>
      </c>
      <c r="AA27" s="76" t="s">
        <v>148</v>
      </c>
      <c r="AB27" s="76" t="s">
        <v>148</v>
      </c>
      <c r="AC27" s="1726" t="s">
        <v>148</v>
      </c>
      <c r="AD27" s="1726" t="s">
        <v>148</v>
      </c>
      <c r="AE27" s="76">
        <v>17</v>
      </c>
      <c r="AF27" s="76">
        <v>12740</v>
      </c>
      <c r="AG27" s="1725" t="s">
        <v>185</v>
      </c>
      <c r="AH27" s="75" t="s">
        <v>148</v>
      </c>
      <c r="AI27" s="76" t="s">
        <v>148</v>
      </c>
      <c r="AJ27" s="76" t="s">
        <v>148</v>
      </c>
      <c r="AK27" s="76">
        <v>2</v>
      </c>
      <c r="AL27" s="76">
        <v>1098</v>
      </c>
      <c r="AM27" s="1725" t="s">
        <v>185</v>
      </c>
      <c r="AN27" s="79" t="s">
        <v>153</v>
      </c>
      <c r="AO27" s="76" t="s">
        <v>153</v>
      </c>
      <c r="AP27" s="1726">
        <v>5</v>
      </c>
      <c r="AQ27" s="1723">
        <v>9</v>
      </c>
      <c r="AR27" s="105">
        <v>1740463</v>
      </c>
      <c r="AS27" s="474">
        <f>AR27/561034*100</f>
        <v>310.22415753768934</v>
      </c>
      <c r="AT27" s="105">
        <v>2250046</v>
      </c>
      <c r="AU27" s="119">
        <v>16261</v>
      </c>
      <c r="AV27" s="113">
        <v>8</v>
      </c>
      <c r="AW27" s="105">
        <v>1</v>
      </c>
      <c r="AX27" s="105">
        <v>2</v>
      </c>
      <c r="AY27" s="1723">
        <v>1</v>
      </c>
      <c r="AZ27" s="105">
        <v>3</v>
      </c>
      <c r="BA27" s="105" t="s">
        <v>148</v>
      </c>
      <c r="BB27" s="105" t="s">
        <v>148</v>
      </c>
      <c r="BC27" s="105" t="s">
        <v>148</v>
      </c>
      <c r="BD27" s="105">
        <v>1</v>
      </c>
      <c r="BE27" s="105" t="s">
        <v>148</v>
      </c>
      <c r="BF27" s="1724" t="s">
        <v>148</v>
      </c>
      <c r="BG27" s="35"/>
      <c r="BH27" s="103">
        <v>3</v>
      </c>
      <c r="BI27" s="105">
        <v>35116</v>
      </c>
      <c r="BJ27" s="105">
        <v>2</v>
      </c>
      <c r="BK27" s="1723">
        <v>45847</v>
      </c>
      <c r="BL27" s="105">
        <v>6</v>
      </c>
      <c r="BM27" s="105">
        <v>21</v>
      </c>
      <c r="BN27" s="105">
        <v>186566</v>
      </c>
      <c r="BO27" s="105">
        <v>3</v>
      </c>
      <c r="BP27" s="105">
        <v>1485</v>
      </c>
      <c r="BQ27" s="105">
        <v>12</v>
      </c>
      <c r="BR27" s="1724">
        <v>55</v>
      </c>
      <c r="BS27" s="35"/>
      <c r="BT27" s="80">
        <v>4</v>
      </c>
      <c r="BU27" s="196">
        <v>2021</v>
      </c>
      <c r="BV27" s="723"/>
      <c r="BW27" s="103" t="s">
        <v>153</v>
      </c>
      <c r="BX27" s="105" t="s">
        <v>153</v>
      </c>
      <c r="BY27" s="105" t="s">
        <v>153</v>
      </c>
      <c r="BZ27" s="113">
        <v>90</v>
      </c>
      <c r="CA27" s="105">
        <v>7812</v>
      </c>
      <c r="CB27" s="105">
        <v>6423</v>
      </c>
      <c r="CC27" s="113" t="s">
        <v>153</v>
      </c>
      <c r="CD27" s="105" t="s">
        <v>153</v>
      </c>
      <c r="CE27" s="1724" t="s">
        <v>153</v>
      </c>
      <c r="CF27" s="35"/>
      <c r="CG27" s="103">
        <v>458</v>
      </c>
      <c r="CH27" s="105">
        <v>36</v>
      </c>
      <c r="CI27" s="105">
        <v>12</v>
      </c>
      <c r="CJ27" s="105">
        <v>11</v>
      </c>
      <c r="CK27" s="105">
        <v>1</v>
      </c>
      <c r="CL27" s="1723">
        <v>1</v>
      </c>
      <c r="CM27" s="1723">
        <v>6</v>
      </c>
      <c r="CN27" s="105">
        <v>166</v>
      </c>
      <c r="CO27" s="1723">
        <v>29290</v>
      </c>
      <c r="CP27" s="1723">
        <v>1145</v>
      </c>
      <c r="CQ27" s="1723">
        <v>150</v>
      </c>
      <c r="CR27" s="1724">
        <v>135</v>
      </c>
      <c r="CS27" s="35"/>
      <c r="CT27" s="690">
        <v>968</v>
      </c>
      <c r="CU27" s="1556">
        <v>29</v>
      </c>
      <c r="CV27" s="1556">
        <v>4</v>
      </c>
      <c r="CW27" s="1556">
        <v>813</v>
      </c>
      <c r="CX27" s="1556">
        <v>41</v>
      </c>
      <c r="CY27" s="1733">
        <v>81</v>
      </c>
      <c r="CZ27" s="1727" t="s">
        <v>153</v>
      </c>
      <c r="DA27" s="689">
        <v>1119963</v>
      </c>
      <c r="DB27" s="1558">
        <v>19125</v>
      </c>
    </row>
    <row r="28" spans="1:106" ht="15.75" customHeight="1">
      <c r="A28" s="236" t="s">
        <v>186</v>
      </c>
      <c r="B28" s="140">
        <v>1</v>
      </c>
      <c r="C28" s="153">
        <v>26</v>
      </c>
      <c r="D28" s="153">
        <v>3</v>
      </c>
      <c r="E28" s="153">
        <v>19</v>
      </c>
      <c r="F28" s="153">
        <v>19</v>
      </c>
      <c r="G28" s="153">
        <v>1661</v>
      </c>
      <c r="H28" s="153">
        <v>1661</v>
      </c>
      <c r="I28" s="147">
        <v>431</v>
      </c>
      <c r="J28" s="140">
        <v>46</v>
      </c>
      <c r="K28" s="141">
        <v>16785</v>
      </c>
      <c r="L28" s="1713">
        <v>1387</v>
      </c>
      <c r="M28" s="141">
        <v>1</v>
      </c>
      <c r="N28" s="141">
        <v>158</v>
      </c>
      <c r="O28" s="141">
        <v>27</v>
      </c>
      <c r="P28" s="1713">
        <v>23</v>
      </c>
      <c r="Q28" s="141">
        <v>8732</v>
      </c>
      <c r="R28" s="141">
        <v>724</v>
      </c>
      <c r="S28" s="141">
        <v>2</v>
      </c>
      <c r="T28" s="141">
        <v>369</v>
      </c>
      <c r="U28" s="1712">
        <v>38</v>
      </c>
      <c r="V28" s="245" t="s">
        <v>153</v>
      </c>
      <c r="W28" s="1720" t="s">
        <v>153</v>
      </c>
      <c r="X28" s="1720" t="s">
        <v>153</v>
      </c>
      <c r="Y28" s="241" t="s">
        <v>153</v>
      </c>
      <c r="Z28" s="1720" t="s">
        <v>153</v>
      </c>
      <c r="AA28" s="1720" t="s">
        <v>153</v>
      </c>
      <c r="AB28" s="141">
        <v>1</v>
      </c>
      <c r="AC28" s="1713">
        <v>959</v>
      </c>
      <c r="AD28" s="1713">
        <v>78</v>
      </c>
      <c r="AE28" s="141">
        <v>11</v>
      </c>
      <c r="AF28" s="141">
        <v>9330</v>
      </c>
      <c r="AG28" s="1712">
        <v>755</v>
      </c>
      <c r="AH28" s="140">
        <v>1</v>
      </c>
      <c r="AI28" s="141">
        <v>181</v>
      </c>
      <c r="AJ28" s="141">
        <v>20</v>
      </c>
      <c r="AK28" s="141">
        <v>2</v>
      </c>
      <c r="AL28" s="141">
        <v>128</v>
      </c>
      <c r="AM28" s="1712">
        <v>33</v>
      </c>
      <c r="AN28" s="245" t="s">
        <v>153</v>
      </c>
      <c r="AO28" s="241" t="s">
        <v>153</v>
      </c>
      <c r="AP28" s="1713">
        <v>2</v>
      </c>
      <c r="AQ28" s="1713">
        <v>4</v>
      </c>
      <c r="AR28" s="141">
        <v>782441</v>
      </c>
      <c r="AS28" s="475">
        <v>208</v>
      </c>
      <c r="AT28" s="141">
        <v>1320396</v>
      </c>
      <c r="AU28" s="246" t="s">
        <v>153</v>
      </c>
      <c r="AV28" s="153">
        <v>2</v>
      </c>
      <c r="AW28" s="141">
        <v>1</v>
      </c>
      <c r="AX28" s="1734" t="s">
        <v>148</v>
      </c>
      <c r="AY28" s="1734" t="s">
        <v>148</v>
      </c>
      <c r="AZ28" s="141">
        <v>1</v>
      </c>
      <c r="BA28" s="1734" t="s">
        <v>148</v>
      </c>
      <c r="BB28" s="1734" t="s">
        <v>148</v>
      </c>
      <c r="BC28" s="1734" t="s">
        <v>148</v>
      </c>
      <c r="BD28" s="1734" t="s">
        <v>148</v>
      </c>
      <c r="BE28" s="1734" t="s">
        <v>148</v>
      </c>
      <c r="BF28" s="1735" t="s">
        <v>148</v>
      </c>
      <c r="BG28" s="35"/>
      <c r="BH28" s="140">
        <v>4</v>
      </c>
      <c r="BI28" s="141">
        <v>32238</v>
      </c>
      <c r="BJ28" s="141">
        <v>1</v>
      </c>
      <c r="BK28" s="1713">
        <v>24017</v>
      </c>
      <c r="BL28" s="141">
        <v>7</v>
      </c>
      <c r="BM28" s="141">
        <v>9</v>
      </c>
      <c r="BN28" s="141">
        <v>103074</v>
      </c>
      <c r="BO28" s="141">
        <v>12</v>
      </c>
      <c r="BP28" s="141">
        <v>7021</v>
      </c>
      <c r="BQ28" s="141">
        <v>6</v>
      </c>
      <c r="BR28" s="1712">
        <v>36</v>
      </c>
      <c r="BS28" s="35"/>
      <c r="BT28" s="160">
        <v>3</v>
      </c>
      <c r="BU28" s="161">
        <v>3216</v>
      </c>
      <c r="BV28" s="723"/>
      <c r="BW28" s="140">
        <v>2</v>
      </c>
      <c r="BX28" s="141">
        <v>70</v>
      </c>
      <c r="BY28" s="141">
        <v>72</v>
      </c>
      <c r="BZ28" s="153">
        <v>74</v>
      </c>
      <c r="CA28" s="141">
        <v>2591</v>
      </c>
      <c r="CB28" s="141">
        <v>2451</v>
      </c>
      <c r="CC28" s="153">
        <v>74</v>
      </c>
      <c r="CD28" s="141">
        <v>2591</v>
      </c>
      <c r="CE28" s="1712">
        <v>2451</v>
      </c>
      <c r="CF28" s="35"/>
      <c r="CG28" s="140">
        <v>492</v>
      </c>
      <c r="CH28" s="141">
        <v>81</v>
      </c>
      <c r="CI28" s="141">
        <v>21</v>
      </c>
      <c r="CJ28" s="141">
        <v>21</v>
      </c>
      <c r="CK28" s="141">
        <v>4</v>
      </c>
      <c r="CL28" s="1713">
        <v>1</v>
      </c>
      <c r="CM28" s="1713">
        <v>10</v>
      </c>
      <c r="CN28" s="141">
        <v>97</v>
      </c>
      <c r="CO28" s="1713">
        <v>28044</v>
      </c>
      <c r="CP28" s="1713">
        <v>247</v>
      </c>
      <c r="CQ28" s="1713">
        <v>79</v>
      </c>
      <c r="CR28" s="1712">
        <v>69</v>
      </c>
      <c r="CS28" s="35"/>
      <c r="CT28" s="576">
        <v>142</v>
      </c>
      <c r="CU28" s="1538">
        <v>25</v>
      </c>
      <c r="CV28" s="1538">
        <v>1</v>
      </c>
      <c r="CW28" s="1538">
        <v>91</v>
      </c>
      <c r="CX28" s="1538">
        <v>7</v>
      </c>
      <c r="CY28" s="1714">
        <v>18</v>
      </c>
      <c r="CZ28" s="1714" t="s">
        <v>148</v>
      </c>
      <c r="DA28" s="577">
        <v>1247872</v>
      </c>
      <c r="DB28" s="1442">
        <v>10813</v>
      </c>
    </row>
    <row r="29" spans="1:106" ht="15.75" customHeight="1">
      <c r="A29" s="320" t="s">
        <v>187</v>
      </c>
      <c r="B29" s="103">
        <v>3</v>
      </c>
      <c r="C29" s="113">
        <v>65</v>
      </c>
      <c r="D29" s="113">
        <v>24</v>
      </c>
      <c r="E29" s="113">
        <v>6</v>
      </c>
      <c r="F29" s="113">
        <v>5</v>
      </c>
      <c r="G29" s="113">
        <v>429</v>
      </c>
      <c r="H29" s="113">
        <v>347</v>
      </c>
      <c r="I29" s="119">
        <v>66</v>
      </c>
      <c r="J29" s="103">
        <v>65</v>
      </c>
      <c r="K29" s="105">
        <v>19093</v>
      </c>
      <c r="L29" s="1723">
        <v>1724</v>
      </c>
      <c r="M29" s="105">
        <v>1</v>
      </c>
      <c r="N29" s="105">
        <v>415</v>
      </c>
      <c r="O29" s="105">
        <v>19</v>
      </c>
      <c r="P29" s="1723">
        <v>26</v>
      </c>
      <c r="Q29" s="105">
        <v>9988</v>
      </c>
      <c r="R29" s="105">
        <v>857</v>
      </c>
      <c r="S29" s="105">
        <v>2</v>
      </c>
      <c r="T29" s="105">
        <v>688</v>
      </c>
      <c r="U29" s="1724">
        <v>59</v>
      </c>
      <c r="V29" s="113" t="s">
        <v>148</v>
      </c>
      <c r="W29" s="1723" t="s">
        <v>148</v>
      </c>
      <c r="X29" s="1723" t="s">
        <v>148</v>
      </c>
      <c r="Y29" s="76" t="s">
        <v>148</v>
      </c>
      <c r="Z29" s="76" t="s">
        <v>148</v>
      </c>
      <c r="AA29" s="76" t="s">
        <v>148</v>
      </c>
      <c r="AB29" s="105" t="s">
        <v>148</v>
      </c>
      <c r="AC29" s="105" t="s">
        <v>148</v>
      </c>
      <c r="AD29" s="105" t="s">
        <v>148</v>
      </c>
      <c r="AE29" s="105">
        <v>18</v>
      </c>
      <c r="AF29" s="105">
        <v>11333</v>
      </c>
      <c r="AG29" s="1725">
        <v>1075</v>
      </c>
      <c r="AH29" s="110" t="s">
        <v>153</v>
      </c>
      <c r="AI29" s="105" t="s">
        <v>153</v>
      </c>
      <c r="AJ29" s="105" t="s">
        <v>153</v>
      </c>
      <c r="AK29" s="105">
        <v>1</v>
      </c>
      <c r="AL29" s="105">
        <v>466</v>
      </c>
      <c r="AM29" s="1724">
        <v>94</v>
      </c>
      <c r="AN29" s="113" t="s">
        <v>153</v>
      </c>
      <c r="AO29" s="105" t="s">
        <v>153</v>
      </c>
      <c r="AP29" s="1723">
        <v>8</v>
      </c>
      <c r="AQ29" s="1723">
        <v>25</v>
      </c>
      <c r="AR29" s="105">
        <v>1029936</v>
      </c>
      <c r="AS29" s="474">
        <v>252.7</v>
      </c>
      <c r="AT29" s="105">
        <v>1728580</v>
      </c>
      <c r="AU29" s="119">
        <v>1289</v>
      </c>
      <c r="AV29" s="113">
        <v>26</v>
      </c>
      <c r="AW29" s="105">
        <v>5</v>
      </c>
      <c r="AX29" s="105">
        <v>1</v>
      </c>
      <c r="AY29" s="1723">
        <v>8</v>
      </c>
      <c r="AZ29" s="105">
        <v>10</v>
      </c>
      <c r="BA29" s="105" t="s">
        <v>148</v>
      </c>
      <c r="BB29" s="105">
        <v>1</v>
      </c>
      <c r="BC29" s="105">
        <v>1</v>
      </c>
      <c r="BD29" s="105" t="s">
        <v>148</v>
      </c>
      <c r="BE29" s="105" t="s">
        <v>148</v>
      </c>
      <c r="BF29" s="1724">
        <v>84</v>
      </c>
      <c r="BG29" s="35"/>
      <c r="BH29" s="103">
        <v>10</v>
      </c>
      <c r="BI29" s="105">
        <v>55209</v>
      </c>
      <c r="BJ29" s="105">
        <v>1</v>
      </c>
      <c r="BK29" s="1723">
        <v>29500</v>
      </c>
      <c r="BL29" s="105">
        <v>2</v>
      </c>
      <c r="BM29" s="105">
        <v>3</v>
      </c>
      <c r="BN29" s="105">
        <v>126582</v>
      </c>
      <c r="BO29" s="105">
        <v>6</v>
      </c>
      <c r="BP29" s="105">
        <v>3775</v>
      </c>
      <c r="BQ29" s="105">
        <v>12</v>
      </c>
      <c r="BR29" s="1724">
        <v>51</v>
      </c>
      <c r="BS29" s="35"/>
      <c r="BT29" s="117">
        <v>4</v>
      </c>
      <c r="BU29" s="118">
        <v>2196</v>
      </c>
      <c r="BV29" s="336"/>
      <c r="BW29" s="103" t="s">
        <v>153</v>
      </c>
      <c r="BX29" s="105" t="s">
        <v>153</v>
      </c>
      <c r="BY29" s="105" t="s">
        <v>153</v>
      </c>
      <c r="BZ29" s="113">
        <v>62</v>
      </c>
      <c r="CA29" s="105">
        <v>3476</v>
      </c>
      <c r="CB29" s="105">
        <v>3882</v>
      </c>
      <c r="CC29" s="113">
        <v>68</v>
      </c>
      <c r="CD29" s="105">
        <v>2876</v>
      </c>
      <c r="CE29" s="1724">
        <v>2836</v>
      </c>
      <c r="CF29" s="35"/>
      <c r="CG29" s="103">
        <v>467</v>
      </c>
      <c r="CH29" s="105">
        <v>94</v>
      </c>
      <c r="CI29" s="105">
        <v>20</v>
      </c>
      <c r="CJ29" s="105">
        <v>20</v>
      </c>
      <c r="CK29" s="105">
        <v>8</v>
      </c>
      <c r="CL29" s="1723">
        <v>1</v>
      </c>
      <c r="CM29" s="1723">
        <v>8</v>
      </c>
      <c r="CN29" s="105">
        <v>56</v>
      </c>
      <c r="CO29" s="1723">
        <v>21697</v>
      </c>
      <c r="CP29" s="1723">
        <v>195</v>
      </c>
      <c r="CQ29" s="1726">
        <v>322</v>
      </c>
      <c r="CR29" s="1724">
        <v>198</v>
      </c>
      <c r="CS29" s="35"/>
      <c r="CT29" s="690">
        <v>322</v>
      </c>
      <c r="CU29" s="1556">
        <v>46</v>
      </c>
      <c r="CV29" s="1556">
        <v>5</v>
      </c>
      <c r="CW29" s="1556">
        <v>169</v>
      </c>
      <c r="CX29" s="1556">
        <v>9</v>
      </c>
      <c r="CY29" s="1733">
        <v>26</v>
      </c>
      <c r="CZ29" s="1733">
        <v>67</v>
      </c>
      <c r="DA29" s="689">
        <v>1606470</v>
      </c>
      <c r="DB29" s="1558">
        <v>50315</v>
      </c>
    </row>
    <row r="30" spans="1:106" ht="15.75" customHeight="1">
      <c r="A30" s="236" t="s">
        <v>269</v>
      </c>
      <c r="B30" s="198" t="s">
        <v>153</v>
      </c>
      <c r="C30" s="162" t="s">
        <v>153</v>
      </c>
      <c r="D30" s="199" t="s">
        <v>153</v>
      </c>
      <c r="E30" s="153">
        <v>26</v>
      </c>
      <c r="F30" s="153">
        <v>16</v>
      </c>
      <c r="G30" s="153">
        <v>2670</v>
      </c>
      <c r="H30" s="153">
        <v>1946</v>
      </c>
      <c r="I30" s="147">
        <v>463</v>
      </c>
      <c r="J30" s="140">
        <v>54</v>
      </c>
      <c r="K30" s="141">
        <v>22396</v>
      </c>
      <c r="L30" s="1713">
        <v>1495</v>
      </c>
      <c r="M30" s="1736">
        <v>2</v>
      </c>
      <c r="N30" s="162">
        <v>751</v>
      </c>
      <c r="O30" s="199">
        <v>40</v>
      </c>
      <c r="P30" s="1713">
        <v>25</v>
      </c>
      <c r="Q30" s="141">
        <v>11129</v>
      </c>
      <c r="R30" s="141">
        <v>802</v>
      </c>
      <c r="S30" s="141">
        <v>5</v>
      </c>
      <c r="T30" s="141">
        <v>1367</v>
      </c>
      <c r="U30" s="1712">
        <v>107</v>
      </c>
      <c r="V30" s="893" t="s">
        <v>153</v>
      </c>
      <c r="W30" s="162" t="s">
        <v>153</v>
      </c>
      <c r="X30" s="162" t="s">
        <v>153</v>
      </c>
      <c r="Y30" s="162" t="s">
        <v>153</v>
      </c>
      <c r="Z30" s="162" t="s">
        <v>153</v>
      </c>
      <c r="AA30" s="162" t="s">
        <v>153</v>
      </c>
      <c r="AB30" s="162">
        <v>1</v>
      </c>
      <c r="AC30" s="162">
        <v>713</v>
      </c>
      <c r="AD30" s="162">
        <v>75</v>
      </c>
      <c r="AE30" s="141">
        <v>18</v>
      </c>
      <c r="AF30" s="153">
        <v>15659</v>
      </c>
      <c r="AG30" s="1712" t="s">
        <v>181</v>
      </c>
      <c r="AH30" s="198" t="s">
        <v>153</v>
      </c>
      <c r="AI30" s="162" t="s">
        <v>153</v>
      </c>
      <c r="AJ30" s="162" t="s">
        <v>153</v>
      </c>
      <c r="AK30" s="141">
        <v>1</v>
      </c>
      <c r="AL30" s="141">
        <v>373</v>
      </c>
      <c r="AM30" s="1712" t="s">
        <v>181</v>
      </c>
      <c r="AN30" s="199" t="s">
        <v>153</v>
      </c>
      <c r="AO30" s="162">
        <v>1</v>
      </c>
      <c r="AP30" s="1713">
        <v>5</v>
      </c>
      <c r="AQ30" s="1720">
        <v>6</v>
      </c>
      <c r="AR30" s="141">
        <v>1688126</v>
      </c>
      <c r="AS30" s="475">
        <v>369</v>
      </c>
      <c r="AT30" s="141">
        <v>2057585</v>
      </c>
      <c r="AU30" s="147">
        <v>2419</v>
      </c>
      <c r="AV30" s="245">
        <v>37</v>
      </c>
      <c r="AW30" s="241" t="s">
        <v>153</v>
      </c>
      <c r="AX30" s="241" t="s">
        <v>153</v>
      </c>
      <c r="AY30" s="1720">
        <v>24</v>
      </c>
      <c r="AZ30" s="241">
        <v>13</v>
      </c>
      <c r="BA30" s="241" t="s">
        <v>153</v>
      </c>
      <c r="BB30" s="241" t="s">
        <v>153</v>
      </c>
      <c r="BC30" s="241" t="s">
        <v>153</v>
      </c>
      <c r="BD30" s="241" t="s">
        <v>153</v>
      </c>
      <c r="BE30" s="241" t="s">
        <v>153</v>
      </c>
      <c r="BF30" s="1712">
        <v>63</v>
      </c>
      <c r="BG30" s="35"/>
      <c r="BH30" s="661">
        <v>11</v>
      </c>
      <c r="BI30" s="555">
        <v>34877</v>
      </c>
      <c r="BJ30" s="555">
        <v>1</v>
      </c>
      <c r="BK30" s="1539">
        <v>35922</v>
      </c>
      <c r="BL30" s="555">
        <v>2</v>
      </c>
      <c r="BM30" s="555">
        <v>2</v>
      </c>
      <c r="BN30" s="555">
        <v>30950</v>
      </c>
      <c r="BO30" s="555">
        <v>3</v>
      </c>
      <c r="BP30" s="555">
        <v>2949</v>
      </c>
      <c r="BQ30" s="555">
        <v>5</v>
      </c>
      <c r="BR30" s="662">
        <v>27</v>
      </c>
      <c r="BS30" s="35"/>
      <c r="BT30" s="160">
        <v>1</v>
      </c>
      <c r="BU30" s="161">
        <v>1919</v>
      </c>
      <c r="BV30" s="723"/>
      <c r="BW30" s="238" t="s">
        <v>148</v>
      </c>
      <c r="BX30" s="241" t="s">
        <v>148</v>
      </c>
      <c r="BY30" s="241" t="s">
        <v>148</v>
      </c>
      <c r="BZ30" s="245" t="s">
        <v>148</v>
      </c>
      <c r="CA30" s="241" t="s">
        <v>148</v>
      </c>
      <c r="CB30" s="241" t="s">
        <v>148</v>
      </c>
      <c r="CC30" s="153">
        <v>106</v>
      </c>
      <c r="CD30" s="141">
        <v>5696</v>
      </c>
      <c r="CE30" s="1712">
        <v>5369</v>
      </c>
      <c r="CF30" s="35"/>
      <c r="CG30" s="140">
        <v>437</v>
      </c>
      <c r="CH30" s="141">
        <v>59</v>
      </c>
      <c r="CI30" s="141">
        <v>14</v>
      </c>
      <c r="CJ30" s="141">
        <v>14</v>
      </c>
      <c r="CK30" s="141">
        <v>3</v>
      </c>
      <c r="CL30" s="1713" t="s">
        <v>148</v>
      </c>
      <c r="CM30" s="1736">
        <v>9</v>
      </c>
      <c r="CN30" s="141">
        <v>68</v>
      </c>
      <c r="CO30" s="1713">
        <v>20680</v>
      </c>
      <c r="CP30" s="1713">
        <v>207</v>
      </c>
      <c r="CQ30" s="1713">
        <v>506</v>
      </c>
      <c r="CR30" s="1712">
        <v>214</v>
      </c>
      <c r="CS30" s="35"/>
      <c r="CT30" s="576">
        <v>234</v>
      </c>
      <c r="CU30" s="1538">
        <v>45</v>
      </c>
      <c r="CV30" s="1737">
        <v>3</v>
      </c>
      <c r="CW30" s="1538">
        <v>39</v>
      </c>
      <c r="CX30" s="1538">
        <v>89</v>
      </c>
      <c r="CY30" s="1714">
        <v>58</v>
      </c>
      <c r="CZ30" s="1714" t="s">
        <v>153</v>
      </c>
      <c r="DA30" s="577">
        <v>1535353</v>
      </c>
      <c r="DB30" s="1442">
        <v>42365</v>
      </c>
    </row>
    <row r="31" spans="1:106" ht="15.75" customHeight="1">
      <c r="A31" s="320" t="s">
        <v>270</v>
      </c>
      <c r="B31" s="75">
        <v>16</v>
      </c>
      <c r="C31" s="79">
        <v>5</v>
      </c>
      <c r="D31" s="79">
        <v>3</v>
      </c>
      <c r="E31" s="79">
        <v>5</v>
      </c>
      <c r="F31" s="79">
        <v>3</v>
      </c>
      <c r="G31" s="79">
        <v>349</v>
      </c>
      <c r="H31" s="79">
        <v>118</v>
      </c>
      <c r="I31" s="184">
        <v>51</v>
      </c>
      <c r="J31" s="75">
        <v>53</v>
      </c>
      <c r="K31" s="76">
        <v>12965</v>
      </c>
      <c r="L31" s="1726">
        <v>954</v>
      </c>
      <c r="M31" s="76" t="s">
        <v>148</v>
      </c>
      <c r="N31" s="76" t="s">
        <v>148</v>
      </c>
      <c r="O31" s="76" t="s">
        <v>148</v>
      </c>
      <c r="P31" s="1726">
        <v>26</v>
      </c>
      <c r="Q31" s="76">
        <v>6637</v>
      </c>
      <c r="R31" s="76">
        <v>571</v>
      </c>
      <c r="S31" s="76">
        <v>3</v>
      </c>
      <c r="T31" s="76">
        <v>602</v>
      </c>
      <c r="U31" s="1725">
        <v>52</v>
      </c>
      <c r="V31" s="79" t="s">
        <v>148</v>
      </c>
      <c r="W31" s="1726" t="s">
        <v>148</v>
      </c>
      <c r="X31" s="1726" t="s">
        <v>148</v>
      </c>
      <c r="Y31" s="76">
        <v>1</v>
      </c>
      <c r="Z31" s="1726">
        <v>719</v>
      </c>
      <c r="AA31" s="1726">
        <v>38</v>
      </c>
      <c r="AB31" s="76" t="s">
        <v>148</v>
      </c>
      <c r="AC31" s="1726" t="s">
        <v>148</v>
      </c>
      <c r="AD31" s="1726" t="s">
        <v>148</v>
      </c>
      <c r="AE31" s="76">
        <v>11</v>
      </c>
      <c r="AF31" s="76" t="s">
        <v>427</v>
      </c>
      <c r="AG31" s="1725" t="s">
        <v>427</v>
      </c>
      <c r="AH31" s="75" t="s">
        <v>148</v>
      </c>
      <c r="AI31" s="76" t="s">
        <v>148</v>
      </c>
      <c r="AJ31" s="76" t="s">
        <v>148</v>
      </c>
      <c r="AK31" s="76">
        <v>4</v>
      </c>
      <c r="AL31" s="76" t="s">
        <v>427</v>
      </c>
      <c r="AM31" s="1725" t="s">
        <v>427</v>
      </c>
      <c r="AN31" s="79" t="s">
        <v>148</v>
      </c>
      <c r="AO31" s="76" t="s">
        <v>148</v>
      </c>
      <c r="AP31" s="1726">
        <v>7</v>
      </c>
      <c r="AQ31" s="1726">
        <v>5</v>
      </c>
      <c r="AR31" s="76">
        <v>1251663</v>
      </c>
      <c r="AS31" s="473">
        <v>488.1</v>
      </c>
      <c r="AT31" s="76">
        <v>1039924</v>
      </c>
      <c r="AU31" s="184" t="s">
        <v>153</v>
      </c>
      <c r="AV31" s="79">
        <v>14</v>
      </c>
      <c r="AW31" s="76" t="s">
        <v>153</v>
      </c>
      <c r="AX31" s="76">
        <v>1</v>
      </c>
      <c r="AY31" s="1726">
        <v>8</v>
      </c>
      <c r="AZ31" s="76">
        <v>3</v>
      </c>
      <c r="BA31" s="76">
        <v>1</v>
      </c>
      <c r="BB31" s="76" t="s">
        <v>153</v>
      </c>
      <c r="BC31" s="76">
        <v>1</v>
      </c>
      <c r="BD31" s="76" t="s">
        <v>153</v>
      </c>
      <c r="BE31" s="76" t="s">
        <v>153</v>
      </c>
      <c r="BF31" s="1725">
        <v>56</v>
      </c>
      <c r="BG31" s="35"/>
      <c r="BH31" s="75">
        <v>7</v>
      </c>
      <c r="BI31" s="76">
        <v>18960.73</v>
      </c>
      <c r="BJ31" s="76" t="s">
        <v>148</v>
      </c>
      <c r="BK31" s="1726" t="s">
        <v>148</v>
      </c>
      <c r="BL31" s="76">
        <v>1</v>
      </c>
      <c r="BM31" s="76">
        <v>1</v>
      </c>
      <c r="BN31" s="76">
        <v>24600</v>
      </c>
      <c r="BO31" s="76">
        <v>2</v>
      </c>
      <c r="BP31" s="76">
        <v>1447.6</v>
      </c>
      <c r="BQ31" s="76">
        <v>3</v>
      </c>
      <c r="BR31" s="1725">
        <v>20</v>
      </c>
      <c r="BS31" s="35"/>
      <c r="BT31" s="663">
        <v>4</v>
      </c>
      <c r="BU31" s="664">
        <v>2912</v>
      </c>
      <c r="BV31" s="727"/>
      <c r="BW31" s="75" t="s">
        <v>148</v>
      </c>
      <c r="BX31" s="76" t="s">
        <v>148</v>
      </c>
      <c r="BY31" s="76" t="s">
        <v>148</v>
      </c>
      <c r="BZ31" s="79">
        <v>82</v>
      </c>
      <c r="CA31" s="76">
        <v>3601</v>
      </c>
      <c r="CB31" s="76">
        <v>3538</v>
      </c>
      <c r="CC31" s="79" t="s">
        <v>148</v>
      </c>
      <c r="CD31" s="76" t="s">
        <v>148</v>
      </c>
      <c r="CE31" s="1725" t="s">
        <v>148</v>
      </c>
      <c r="CF31" s="35"/>
      <c r="CG31" s="75">
        <v>347</v>
      </c>
      <c r="CH31" s="76">
        <v>67</v>
      </c>
      <c r="CI31" s="76">
        <v>11</v>
      </c>
      <c r="CJ31" s="76">
        <v>11</v>
      </c>
      <c r="CK31" s="76">
        <v>4</v>
      </c>
      <c r="CL31" s="1726">
        <v>8</v>
      </c>
      <c r="CM31" s="1726">
        <v>5</v>
      </c>
      <c r="CN31" s="76">
        <v>38</v>
      </c>
      <c r="CO31" s="1726">
        <v>11228</v>
      </c>
      <c r="CP31" s="1726">
        <v>256</v>
      </c>
      <c r="CQ31" s="1726">
        <v>441</v>
      </c>
      <c r="CR31" s="1725">
        <v>210</v>
      </c>
      <c r="CS31" s="35"/>
      <c r="CT31" s="627">
        <v>53</v>
      </c>
      <c r="CU31" s="1379">
        <v>14</v>
      </c>
      <c r="CV31" s="1379">
        <v>3</v>
      </c>
      <c r="CW31" s="1379">
        <v>4</v>
      </c>
      <c r="CX31" s="1379">
        <v>4</v>
      </c>
      <c r="CY31" s="1727">
        <v>28</v>
      </c>
      <c r="CZ31" s="1727" t="s">
        <v>148</v>
      </c>
      <c r="DA31" s="628">
        <v>898217.88</v>
      </c>
      <c r="DB31" s="1380">
        <v>20198.82</v>
      </c>
    </row>
    <row r="32" spans="1:106" ht="15.75" customHeight="1">
      <c r="A32" s="236" t="s">
        <v>271</v>
      </c>
      <c r="B32" s="146" t="s">
        <v>153</v>
      </c>
      <c r="C32" s="1713" t="s">
        <v>153</v>
      </c>
      <c r="D32" s="141" t="s">
        <v>153</v>
      </c>
      <c r="E32" s="153">
        <v>23</v>
      </c>
      <c r="F32" s="153" t="s">
        <v>153</v>
      </c>
      <c r="G32" s="640">
        <v>1425</v>
      </c>
      <c r="H32" s="153" t="s">
        <v>153</v>
      </c>
      <c r="I32" s="641">
        <v>257</v>
      </c>
      <c r="J32" s="140">
        <v>27</v>
      </c>
      <c r="K32" s="555">
        <v>7530</v>
      </c>
      <c r="L32" s="1539">
        <v>607</v>
      </c>
      <c r="M32" s="141">
        <v>2</v>
      </c>
      <c r="N32" s="555">
        <v>894</v>
      </c>
      <c r="O32" s="555">
        <v>63</v>
      </c>
      <c r="P32" s="1713">
        <v>13</v>
      </c>
      <c r="Q32" s="555">
        <v>3930</v>
      </c>
      <c r="R32" s="555">
        <v>332</v>
      </c>
      <c r="S32" s="555">
        <v>4</v>
      </c>
      <c r="T32" s="555">
        <v>943</v>
      </c>
      <c r="U32" s="1431">
        <v>73</v>
      </c>
      <c r="V32" s="893" t="s">
        <v>153</v>
      </c>
      <c r="W32" s="162" t="s">
        <v>153</v>
      </c>
      <c r="X32" s="162" t="s">
        <v>153</v>
      </c>
      <c r="Y32" s="162" t="s">
        <v>153</v>
      </c>
      <c r="Z32" s="162" t="s">
        <v>153</v>
      </c>
      <c r="AA32" s="162" t="s">
        <v>153</v>
      </c>
      <c r="AB32" s="141">
        <v>1</v>
      </c>
      <c r="AC32" s="555">
        <v>765</v>
      </c>
      <c r="AD32" s="1539">
        <v>71</v>
      </c>
      <c r="AE32" s="1720">
        <v>11</v>
      </c>
      <c r="AF32" s="241">
        <v>7786</v>
      </c>
      <c r="AG32" s="1721">
        <v>632</v>
      </c>
      <c r="AH32" s="140" t="s">
        <v>153</v>
      </c>
      <c r="AI32" s="141" t="s">
        <v>153</v>
      </c>
      <c r="AJ32" s="141" t="s">
        <v>153</v>
      </c>
      <c r="AK32" s="241">
        <v>2</v>
      </c>
      <c r="AL32" s="598">
        <v>266</v>
      </c>
      <c r="AM32" s="1721">
        <v>79</v>
      </c>
      <c r="AN32" s="665" t="s">
        <v>153</v>
      </c>
      <c r="AO32" s="665" t="s">
        <v>153</v>
      </c>
      <c r="AP32" s="598">
        <v>6</v>
      </c>
      <c r="AQ32" s="1713">
        <v>1</v>
      </c>
      <c r="AR32" s="141">
        <v>406288</v>
      </c>
      <c r="AS32" s="475">
        <v>218.8</v>
      </c>
      <c r="AT32" s="141">
        <v>421791</v>
      </c>
      <c r="AU32" s="147">
        <v>464</v>
      </c>
      <c r="AV32" s="245">
        <v>14</v>
      </c>
      <c r="AW32" s="241">
        <v>1</v>
      </c>
      <c r="AX32" s="241">
        <v>1</v>
      </c>
      <c r="AY32" s="241">
        <v>7</v>
      </c>
      <c r="AZ32" s="241">
        <v>4</v>
      </c>
      <c r="BA32" s="241" t="s">
        <v>153</v>
      </c>
      <c r="BB32" s="241">
        <v>1</v>
      </c>
      <c r="BC32" s="241" t="s">
        <v>153</v>
      </c>
      <c r="BD32" s="241" t="s">
        <v>153</v>
      </c>
      <c r="BE32" s="241" t="s">
        <v>153</v>
      </c>
      <c r="BF32" s="1712">
        <v>9</v>
      </c>
      <c r="BG32" s="35"/>
      <c r="BH32" s="140">
        <v>1</v>
      </c>
      <c r="BI32" s="141">
        <v>1116</v>
      </c>
      <c r="BJ32" s="141">
        <v>1</v>
      </c>
      <c r="BK32" s="1713">
        <v>24958</v>
      </c>
      <c r="BL32" s="141">
        <v>1</v>
      </c>
      <c r="BM32" s="141">
        <v>1</v>
      </c>
      <c r="BN32" s="141">
        <v>20930</v>
      </c>
      <c r="BO32" s="141">
        <v>2</v>
      </c>
      <c r="BP32" s="141">
        <v>1628</v>
      </c>
      <c r="BQ32" s="141">
        <v>1</v>
      </c>
      <c r="BR32" s="1712">
        <v>12</v>
      </c>
      <c r="BS32" s="35"/>
      <c r="BT32" s="165">
        <v>1</v>
      </c>
      <c r="BU32" s="166">
        <v>2000</v>
      </c>
      <c r="BV32" s="727"/>
      <c r="BW32" s="140">
        <v>26</v>
      </c>
      <c r="BX32" s="141">
        <v>1500</v>
      </c>
      <c r="BY32" s="141">
        <v>1373</v>
      </c>
      <c r="BZ32" s="153" t="s">
        <v>153</v>
      </c>
      <c r="CA32" s="153" t="s">
        <v>153</v>
      </c>
      <c r="CB32" s="153" t="s">
        <v>153</v>
      </c>
      <c r="CC32" s="153">
        <v>11</v>
      </c>
      <c r="CD32" s="153">
        <v>450</v>
      </c>
      <c r="CE32" s="1712">
        <v>358</v>
      </c>
      <c r="CF32" s="35"/>
      <c r="CG32" s="140">
        <v>237</v>
      </c>
      <c r="CH32" s="141">
        <v>32</v>
      </c>
      <c r="CI32" s="141">
        <v>7</v>
      </c>
      <c r="CJ32" s="141">
        <v>7</v>
      </c>
      <c r="CK32" s="141">
        <v>2</v>
      </c>
      <c r="CL32" s="1713" t="s">
        <v>153</v>
      </c>
      <c r="CM32" s="1736">
        <v>6</v>
      </c>
      <c r="CN32" s="141">
        <v>53</v>
      </c>
      <c r="CO32" s="1713">
        <v>11400</v>
      </c>
      <c r="CP32" s="1713">
        <v>89</v>
      </c>
      <c r="CQ32" s="1713">
        <v>123</v>
      </c>
      <c r="CR32" s="1712">
        <v>61</v>
      </c>
      <c r="CS32" s="35"/>
      <c r="CT32" s="576">
        <v>44</v>
      </c>
      <c r="CU32" s="1538">
        <v>8</v>
      </c>
      <c r="CV32" s="1538" t="s">
        <v>148</v>
      </c>
      <c r="CW32" s="1538">
        <v>1</v>
      </c>
      <c r="CX32" s="1538">
        <v>18</v>
      </c>
      <c r="CY32" s="1714">
        <v>13</v>
      </c>
      <c r="CZ32" s="1714">
        <v>4</v>
      </c>
      <c r="DA32" s="555">
        <v>605609</v>
      </c>
      <c r="DB32" s="1431">
        <v>3950</v>
      </c>
    </row>
    <row r="33" spans="1:106" ht="15.75" customHeight="1">
      <c r="A33" s="320" t="s">
        <v>193</v>
      </c>
      <c r="B33" s="75" t="s">
        <v>153</v>
      </c>
      <c r="C33" s="79" t="s">
        <v>153</v>
      </c>
      <c r="D33" s="79" t="s">
        <v>153</v>
      </c>
      <c r="E33" s="79">
        <v>22</v>
      </c>
      <c r="F33" s="79">
        <v>5</v>
      </c>
      <c r="G33" s="79">
        <v>2642</v>
      </c>
      <c r="H33" s="79">
        <v>388</v>
      </c>
      <c r="I33" s="1725">
        <v>267</v>
      </c>
      <c r="J33" s="75">
        <v>54</v>
      </c>
      <c r="K33" s="76">
        <v>17723</v>
      </c>
      <c r="L33" s="76">
        <v>1167</v>
      </c>
      <c r="M33" s="76">
        <v>3</v>
      </c>
      <c r="N33" s="76">
        <v>675</v>
      </c>
      <c r="O33" s="76">
        <v>45</v>
      </c>
      <c r="P33" s="1726">
        <v>25</v>
      </c>
      <c r="Q33" s="76">
        <v>8911</v>
      </c>
      <c r="R33" s="76">
        <v>799</v>
      </c>
      <c r="S33" s="76">
        <v>5</v>
      </c>
      <c r="T33" s="76">
        <v>998</v>
      </c>
      <c r="U33" s="1725">
        <v>80</v>
      </c>
      <c r="V33" s="79" t="s">
        <v>148</v>
      </c>
      <c r="W33" s="79" t="s">
        <v>148</v>
      </c>
      <c r="X33" s="79" t="s">
        <v>153</v>
      </c>
      <c r="Y33" s="79" t="s">
        <v>148</v>
      </c>
      <c r="Z33" s="79" t="s">
        <v>148</v>
      </c>
      <c r="AA33" s="79" t="s">
        <v>148</v>
      </c>
      <c r="AB33" s="76">
        <v>1</v>
      </c>
      <c r="AC33" s="1726">
        <v>472</v>
      </c>
      <c r="AD33" s="1726">
        <v>53</v>
      </c>
      <c r="AE33" s="76">
        <v>17</v>
      </c>
      <c r="AF33" s="628" t="s">
        <v>427</v>
      </c>
      <c r="AG33" s="1380" t="s">
        <v>427</v>
      </c>
      <c r="AH33" s="75" t="s">
        <v>153</v>
      </c>
      <c r="AI33" s="76" t="s">
        <v>153</v>
      </c>
      <c r="AJ33" s="76" t="s">
        <v>153</v>
      </c>
      <c r="AK33" s="76">
        <v>8</v>
      </c>
      <c r="AL33" s="76">
        <v>1033</v>
      </c>
      <c r="AM33" s="1725">
        <v>94</v>
      </c>
      <c r="AN33" s="79" t="s">
        <v>153</v>
      </c>
      <c r="AO33" s="76" t="s">
        <v>148</v>
      </c>
      <c r="AP33" s="1726">
        <v>5</v>
      </c>
      <c r="AQ33" s="1723">
        <v>2</v>
      </c>
      <c r="AR33" s="105">
        <v>1098568</v>
      </c>
      <c r="AS33" s="474">
        <v>299.67</v>
      </c>
      <c r="AT33" s="105">
        <v>1586841</v>
      </c>
      <c r="AU33" s="119">
        <v>21195</v>
      </c>
      <c r="AV33" s="79">
        <v>18</v>
      </c>
      <c r="AW33" s="105">
        <v>2</v>
      </c>
      <c r="AX33" s="105">
        <v>1</v>
      </c>
      <c r="AY33" s="1723">
        <v>6</v>
      </c>
      <c r="AZ33" s="105">
        <v>6</v>
      </c>
      <c r="BA33" s="105" t="s">
        <v>148</v>
      </c>
      <c r="BB33" s="105">
        <v>2</v>
      </c>
      <c r="BC33" s="105">
        <v>1</v>
      </c>
      <c r="BD33" s="105" t="s">
        <v>148</v>
      </c>
      <c r="BE33" s="105" t="s">
        <v>148</v>
      </c>
      <c r="BF33" s="1724">
        <v>24</v>
      </c>
      <c r="BG33" s="35"/>
      <c r="BH33" s="103">
        <v>4</v>
      </c>
      <c r="BI33" s="105">
        <v>36079.47</v>
      </c>
      <c r="BJ33" s="105">
        <v>2</v>
      </c>
      <c r="BK33" s="1723">
        <v>42944</v>
      </c>
      <c r="BL33" s="105">
        <v>1</v>
      </c>
      <c r="BM33" s="105">
        <v>1</v>
      </c>
      <c r="BN33" s="105">
        <v>37900</v>
      </c>
      <c r="BO33" s="105">
        <v>7</v>
      </c>
      <c r="BP33" s="105">
        <v>8173</v>
      </c>
      <c r="BQ33" s="105">
        <v>15</v>
      </c>
      <c r="BR33" s="1724">
        <v>62</v>
      </c>
      <c r="BS33" s="35"/>
      <c r="BT33" s="80">
        <v>7</v>
      </c>
      <c r="BU33" s="118">
        <v>1292</v>
      </c>
      <c r="BV33" s="723"/>
      <c r="BW33" s="75" t="s">
        <v>153</v>
      </c>
      <c r="BX33" s="76" t="s">
        <v>153</v>
      </c>
      <c r="BY33" s="76" t="s">
        <v>153</v>
      </c>
      <c r="BZ33" s="113">
        <v>84</v>
      </c>
      <c r="CA33" s="105">
        <v>13216</v>
      </c>
      <c r="CB33" s="105">
        <v>8244</v>
      </c>
      <c r="CC33" s="113">
        <v>2</v>
      </c>
      <c r="CD33" s="105">
        <v>45</v>
      </c>
      <c r="CE33" s="1724">
        <v>53</v>
      </c>
      <c r="CF33" s="35"/>
      <c r="CG33" s="75">
        <v>487</v>
      </c>
      <c r="CH33" s="76">
        <v>102</v>
      </c>
      <c r="CI33" s="105">
        <v>26</v>
      </c>
      <c r="CJ33" s="105">
        <v>26</v>
      </c>
      <c r="CK33" s="105">
        <v>6</v>
      </c>
      <c r="CL33" s="1723">
        <v>13</v>
      </c>
      <c r="CM33" s="1726" t="s">
        <v>153</v>
      </c>
      <c r="CN33" s="105">
        <v>94</v>
      </c>
      <c r="CO33" s="1723">
        <v>21603</v>
      </c>
      <c r="CP33" s="1723">
        <v>150</v>
      </c>
      <c r="CQ33" s="1723">
        <v>303</v>
      </c>
      <c r="CR33" s="1724">
        <v>246</v>
      </c>
      <c r="CS33" s="35"/>
      <c r="CT33" s="627">
        <v>217</v>
      </c>
      <c r="CU33" s="1379">
        <v>62</v>
      </c>
      <c r="CV33" s="1379">
        <v>23</v>
      </c>
      <c r="CW33" s="1379">
        <v>18</v>
      </c>
      <c r="CX33" s="1379">
        <v>30</v>
      </c>
      <c r="CY33" s="1727">
        <v>84</v>
      </c>
      <c r="CZ33" s="1727" t="s">
        <v>153</v>
      </c>
      <c r="DA33" s="689">
        <v>1544069</v>
      </c>
      <c r="DB33" s="1558">
        <v>53422</v>
      </c>
    </row>
    <row r="34" spans="1:106" ht="15.75" customHeight="1">
      <c r="A34" s="236" t="s">
        <v>272</v>
      </c>
      <c r="B34" s="238">
        <v>3</v>
      </c>
      <c r="C34" s="245">
        <v>152</v>
      </c>
      <c r="D34" s="245">
        <v>24</v>
      </c>
      <c r="E34" s="245">
        <v>7</v>
      </c>
      <c r="F34" s="245">
        <v>7</v>
      </c>
      <c r="G34" s="245">
        <v>1130</v>
      </c>
      <c r="H34" s="245">
        <v>495</v>
      </c>
      <c r="I34" s="1721">
        <v>164</v>
      </c>
      <c r="J34" s="238">
        <v>29</v>
      </c>
      <c r="K34" s="241">
        <v>11692</v>
      </c>
      <c r="L34" s="241">
        <v>763</v>
      </c>
      <c r="M34" s="241">
        <v>3</v>
      </c>
      <c r="N34" s="241">
        <v>739</v>
      </c>
      <c r="O34" s="241">
        <v>54</v>
      </c>
      <c r="P34" s="1720">
        <v>22</v>
      </c>
      <c r="Q34" s="241">
        <v>5861</v>
      </c>
      <c r="R34" s="241">
        <v>501</v>
      </c>
      <c r="S34" s="241">
        <v>3</v>
      </c>
      <c r="T34" s="241">
        <v>658</v>
      </c>
      <c r="U34" s="1721">
        <v>46</v>
      </c>
      <c r="V34" s="245" t="s">
        <v>153</v>
      </c>
      <c r="W34" s="1720" t="s">
        <v>153</v>
      </c>
      <c r="X34" s="1720" t="s">
        <v>153</v>
      </c>
      <c r="Y34" s="241" t="s">
        <v>153</v>
      </c>
      <c r="Z34" s="1720" t="s">
        <v>153</v>
      </c>
      <c r="AA34" s="1720" t="s">
        <v>153</v>
      </c>
      <c r="AB34" s="241" t="s">
        <v>153</v>
      </c>
      <c r="AC34" s="1720" t="s">
        <v>153</v>
      </c>
      <c r="AD34" s="1720" t="s">
        <v>153</v>
      </c>
      <c r="AE34" s="241">
        <v>10</v>
      </c>
      <c r="AF34" s="241">
        <v>7294</v>
      </c>
      <c r="AG34" s="1721">
        <v>506</v>
      </c>
      <c r="AH34" s="238" t="s">
        <v>153</v>
      </c>
      <c r="AI34" s="241" t="s">
        <v>153</v>
      </c>
      <c r="AJ34" s="241" t="s">
        <v>153</v>
      </c>
      <c r="AK34" s="241">
        <v>3</v>
      </c>
      <c r="AL34" s="241">
        <v>2275</v>
      </c>
      <c r="AM34" s="1721">
        <v>84</v>
      </c>
      <c r="AN34" s="245" t="s">
        <v>153</v>
      </c>
      <c r="AO34" s="241" t="s">
        <v>153</v>
      </c>
      <c r="AP34" s="1720">
        <v>4</v>
      </c>
      <c r="AQ34" s="1720">
        <v>11</v>
      </c>
      <c r="AR34" s="241">
        <v>1324551</v>
      </c>
      <c r="AS34" s="476">
        <v>561.9</v>
      </c>
      <c r="AT34" s="241">
        <v>1553131</v>
      </c>
      <c r="AU34" s="246">
        <v>21195</v>
      </c>
      <c r="AV34" s="245">
        <f>SUM(AW34:BE34)</f>
        <v>26</v>
      </c>
      <c r="AW34" s="241">
        <v>0</v>
      </c>
      <c r="AX34" s="241">
        <v>5</v>
      </c>
      <c r="AY34" s="1720">
        <v>14</v>
      </c>
      <c r="AZ34" s="241">
        <v>6</v>
      </c>
      <c r="BA34" s="241" t="s">
        <v>153</v>
      </c>
      <c r="BB34" s="241">
        <v>1</v>
      </c>
      <c r="BC34" s="241" t="s">
        <v>153</v>
      </c>
      <c r="BD34" s="241" t="s">
        <v>153</v>
      </c>
      <c r="BE34" s="241" t="s">
        <v>153</v>
      </c>
      <c r="BF34" s="1721">
        <v>36</v>
      </c>
      <c r="BG34" s="35"/>
      <c r="BH34" s="238">
        <v>25</v>
      </c>
      <c r="BI34" s="241">
        <v>43208.7</v>
      </c>
      <c r="BJ34" s="241" t="s">
        <v>153</v>
      </c>
      <c r="BK34" s="1720" t="s">
        <v>153</v>
      </c>
      <c r="BL34" s="241">
        <v>2</v>
      </c>
      <c r="BM34" s="241">
        <v>2</v>
      </c>
      <c r="BN34" s="241">
        <v>55256</v>
      </c>
      <c r="BO34" s="241">
        <v>5</v>
      </c>
      <c r="BP34" s="241">
        <v>3158</v>
      </c>
      <c r="BQ34" s="241">
        <v>8</v>
      </c>
      <c r="BR34" s="1721">
        <v>48</v>
      </c>
      <c r="BS34" s="35"/>
      <c r="BT34" s="247">
        <v>8</v>
      </c>
      <c r="BU34" s="248">
        <v>1800</v>
      </c>
      <c r="BV34" s="723"/>
      <c r="BW34" s="238" t="s">
        <v>153</v>
      </c>
      <c r="BX34" s="241" t="s">
        <v>153</v>
      </c>
      <c r="BY34" s="241" t="s">
        <v>153</v>
      </c>
      <c r="BZ34" s="245">
        <v>29</v>
      </c>
      <c r="CA34" s="241">
        <v>4150</v>
      </c>
      <c r="CB34" s="241">
        <v>3233</v>
      </c>
      <c r="CC34" s="245">
        <v>12</v>
      </c>
      <c r="CD34" s="241">
        <v>550</v>
      </c>
      <c r="CE34" s="1721">
        <v>344</v>
      </c>
      <c r="CF34" s="35"/>
      <c r="CG34" s="238">
        <v>224</v>
      </c>
      <c r="CH34" s="241">
        <v>42</v>
      </c>
      <c r="CI34" s="241">
        <v>8</v>
      </c>
      <c r="CJ34" s="241">
        <v>8</v>
      </c>
      <c r="CK34" s="241">
        <v>5</v>
      </c>
      <c r="CL34" s="1720" t="s">
        <v>153</v>
      </c>
      <c r="CM34" s="1720">
        <v>4</v>
      </c>
      <c r="CN34" s="241">
        <v>62</v>
      </c>
      <c r="CO34" s="1720">
        <v>11818</v>
      </c>
      <c r="CP34" s="1720">
        <v>125</v>
      </c>
      <c r="CQ34" s="1720">
        <v>220</v>
      </c>
      <c r="CR34" s="1721">
        <v>159</v>
      </c>
      <c r="CS34" s="35"/>
      <c r="CT34" s="554">
        <v>177</v>
      </c>
      <c r="CU34" s="1539">
        <v>39</v>
      </c>
      <c r="CV34" s="1539">
        <v>16</v>
      </c>
      <c r="CW34" s="1539">
        <v>58</v>
      </c>
      <c r="CX34" s="1539">
        <v>11</v>
      </c>
      <c r="CY34" s="1722">
        <v>53</v>
      </c>
      <c r="CZ34" s="1722" t="s">
        <v>153</v>
      </c>
      <c r="DA34" s="555">
        <v>1016242</v>
      </c>
      <c r="DB34" s="1431">
        <v>39407</v>
      </c>
    </row>
    <row r="35" spans="1:106" ht="15.75" customHeight="1">
      <c r="A35" s="320" t="s">
        <v>196</v>
      </c>
      <c r="B35" s="75">
        <v>2</v>
      </c>
      <c r="C35" s="79">
        <v>125</v>
      </c>
      <c r="D35" s="79">
        <v>17</v>
      </c>
      <c r="E35" s="79">
        <v>32</v>
      </c>
      <c r="F35" s="79" t="s">
        <v>153</v>
      </c>
      <c r="G35" s="79">
        <v>5731</v>
      </c>
      <c r="H35" s="79">
        <v>5731</v>
      </c>
      <c r="I35" s="184">
        <v>630</v>
      </c>
      <c r="J35" s="75">
        <v>46</v>
      </c>
      <c r="K35" s="76">
        <v>18970</v>
      </c>
      <c r="L35" s="1726">
        <v>1738</v>
      </c>
      <c r="M35" s="76">
        <v>1</v>
      </c>
      <c r="N35" s="76">
        <v>359</v>
      </c>
      <c r="O35" s="76">
        <v>27</v>
      </c>
      <c r="P35" s="1726">
        <v>23</v>
      </c>
      <c r="Q35" s="76">
        <v>9854</v>
      </c>
      <c r="R35" s="76">
        <v>877</v>
      </c>
      <c r="S35" s="76">
        <v>4</v>
      </c>
      <c r="T35" s="76">
        <v>873</v>
      </c>
      <c r="U35" s="1725">
        <v>135</v>
      </c>
      <c r="V35" s="79" t="s">
        <v>153</v>
      </c>
      <c r="W35" s="1726" t="s">
        <v>153</v>
      </c>
      <c r="X35" s="1726" t="s">
        <v>153</v>
      </c>
      <c r="Y35" s="1726">
        <v>1</v>
      </c>
      <c r="Z35" s="1726">
        <v>935</v>
      </c>
      <c r="AA35" s="1726">
        <v>77</v>
      </c>
      <c r="AB35" s="76">
        <v>1</v>
      </c>
      <c r="AC35" s="1726">
        <v>471</v>
      </c>
      <c r="AD35" s="1726">
        <v>46</v>
      </c>
      <c r="AE35" s="76">
        <v>16</v>
      </c>
      <c r="AF35" s="76">
        <v>13506</v>
      </c>
      <c r="AG35" s="1725">
        <v>1547</v>
      </c>
      <c r="AH35" s="668" t="s">
        <v>153</v>
      </c>
      <c r="AI35" s="202" t="s">
        <v>153</v>
      </c>
      <c r="AJ35" s="202" t="s">
        <v>153</v>
      </c>
      <c r="AK35" s="76">
        <v>5</v>
      </c>
      <c r="AL35" s="76">
        <v>2181</v>
      </c>
      <c r="AM35" s="1725">
        <v>248</v>
      </c>
      <c r="AN35" s="35">
        <v>1</v>
      </c>
      <c r="AO35" s="1726">
        <v>1</v>
      </c>
      <c r="AP35" s="1726">
        <v>7</v>
      </c>
      <c r="AQ35" s="1726">
        <v>7</v>
      </c>
      <c r="AR35" s="76">
        <v>865260</v>
      </c>
      <c r="AS35" s="473">
        <v>215.6</v>
      </c>
      <c r="AT35" s="76">
        <v>2403327</v>
      </c>
      <c r="AU35" s="184">
        <v>3980</v>
      </c>
      <c r="AV35" s="79">
        <v>4</v>
      </c>
      <c r="AW35" s="76" t="s">
        <v>153</v>
      </c>
      <c r="AX35" s="1726">
        <v>1</v>
      </c>
      <c r="AY35" s="76">
        <v>2</v>
      </c>
      <c r="AZ35" s="76">
        <v>1</v>
      </c>
      <c r="BA35" s="1726" t="s">
        <v>153</v>
      </c>
      <c r="BB35" s="1726" t="s">
        <v>153</v>
      </c>
      <c r="BC35" s="1726" t="s">
        <v>153</v>
      </c>
      <c r="BD35" s="1726" t="s">
        <v>153</v>
      </c>
      <c r="BE35" s="1726" t="s">
        <v>153</v>
      </c>
      <c r="BF35" s="1725">
        <v>50</v>
      </c>
      <c r="BG35" s="35"/>
      <c r="BH35" s="75">
        <v>11</v>
      </c>
      <c r="BI35" s="76">
        <v>29813</v>
      </c>
      <c r="BJ35" s="76" t="s">
        <v>153</v>
      </c>
      <c r="BK35" s="1726" t="s">
        <v>153</v>
      </c>
      <c r="BL35" s="76">
        <v>3</v>
      </c>
      <c r="BM35" s="76">
        <v>3</v>
      </c>
      <c r="BN35" s="76">
        <v>34800</v>
      </c>
      <c r="BO35" s="76">
        <v>3</v>
      </c>
      <c r="BP35" s="76">
        <v>2008</v>
      </c>
      <c r="BQ35" s="76">
        <v>7</v>
      </c>
      <c r="BR35" s="1725">
        <v>33</v>
      </c>
      <c r="BS35" s="35"/>
      <c r="BT35" s="80">
        <v>4</v>
      </c>
      <c r="BU35" s="1731">
        <v>5430</v>
      </c>
      <c r="BV35" s="723"/>
      <c r="BW35" s="75">
        <v>125</v>
      </c>
      <c r="BX35" s="1726">
        <v>3842</v>
      </c>
      <c r="BY35" s="1726">
        <v>3684</v>
      </c>
      <c r="BZ35" s="1726" t="s">
        <v>153</v>
      </c>
      <c r="CA35" s="1726" t="s">
        <v>153</v>
      </c>
      <c r="CB35" s="1726" t="s">
        <v>153</v>
      </c>
      <c r="CC35" s="1726" t="s">
        <v>153</v>
      </c>
      <c r="CD35" s="1726" t="s">
        <v>153</v>
      </c>
      <c r="CE35" s="1725" t="s">
        <v>153</v>
      </c>
      <c r="CF35" s="35"/>
      <c r="CG35" s="75">
        <v>647</v>
      </c>
      <c r="CH35" s="76">
        <v>94</v>
      </c>
      <c r="CI35" s="76">
        <v>27</v>
      </c>
      <c r="CJ35" s="76">
        <v>27</v>
      </c>
      <c r="CK35" s="76">
        <v>6</v>
      </c>
      <c r="CL35" s="1726">
        <v>15</v>
      </c>
      <c r="CM35" s="1726" t="s">
        <v>153</v>
      </c>
      <c r="CN35" s="76">
        <v>146</v>
      </c>
      <c r="CO35" s="1726">
        <v>27791</v>
      </c>
      <c r="CP35" s="1726">
        <v>435</v>
      </c>
      <c r="CQ35" s="1726">
        <v>565</v>
      </c>
      <c r="CR35" s="1725">
        <v>256</v>
      </c>
      <c r="CS35" s="35"/>
      <c r="CT35" s="627">
        <v>106</v>
      </c>
      <c r="CU35" s="1379">
        <v>18</v>
      </c>
      <c r="CV35" s="1379">
        <v>4</v>
      </c>
      <c r="CW35" s="1379">
        <v>23</v>
      </c>
      <c r="CX35" s="1379">
        <v>27</v>
      </c>
      <c r="CY35" s="1727">
        <v>34</v>
      </c>
      <c r="CZ35" s="1727" t="s">
        <v>153</v>
      </c>
      <c r="DA35" s="628">
        <v>1284243</v>
      </c>
      <c r="DB35" s="1380">
        <v>54954</v>
      </c>
    </row>
    <row r="36" spans="1:106" ht="15.75" customHeight="1">
      <c r="A36" s="236" t="s">
        <v>197</v>
      </c>
      <c r="B36" s="238" t="s">
        <v>153</v>
      </c>
      <c r="C36" s="245" t="s">
        <v>153</v>
      </c>
      <c r="D36" s="245" t="s">
        <v>153</v>
      </c>
      <c r="E36" s="245">
        <v>19</v>
      </c>
      <c r="F36" s="245">
        <v>19</v>
      </c>
      <c r="G36" s="245">
        <v>2030</v>
      </c>
      <c r="H36" s="245">
        <v>97</v>
      </c>
      <c r="I36" s="246">
        <v>202</v>
      </c>
      <c r="J36" s="238">
        <v>52</v>
      </c>
      <c r="K36" s="241">
        <v>20049</v>
      </c>
      <c r="L36" s="1720">
        <v>1283</v>
      </c>
      <c r="M36" s="241" t="s">
        <v>153</v>
      </c>
      <c r="N36" s="241" t="s">
        <v>153</v>
      </c>
      <c r="O36" s="241" t="s">
        <v>153</v>
      </c>
      <c r="P36" s="1720">
        <v>22</v>
      </c>
      <c r="Q36" s="241">
        <v>10433</v>
      </c>
      <c r="R36" s="241">
        <v>722</v>
      </c>
      <c r="S36" s="241">
        <v>1</v>
      </c>
      <c r="T36" s="241">
        <v>258</v>
      </c>
      <c r="U36" s="1721">
        <v>18</v>
      </c>
      <c r="V36" s="245" t="s">
        <v>153</v>
      </c>
      <c r="W36" s="1720" t="s">
        <v>153</v>
      </c>
      <c r="X36" s="1720" t="s">
        <v>153</v>
      </c>
      <c r="Y36" s="241" t="s">
        <v>153</v>
      </c>
      <c r="Z36" s="1720" t="s">
        <v>153</v>
      </c>
      <c r="AA36" s="1720" t="s">
        <v>153</v>
      </c>
      <c r="AB36" s="241" t="s">
        <v>148</v>
      </c>
      <c r="AC36" s="1720" t="s">
        <v>148</v>
      </c>
      <c r="AD36" s="1720" t="s">
        <v>148</v>
      </c>
      <c r="AE36" s="241">
        <v>10</v>
      </c>
      <c r="AF36" s="241">
        <v>8968</v>
      </c>
      <c r="AG36" s="1721">
        <v>592</v>
      </c>
      <c r="AH36" s="238">
        <v>1</v>
      </c>
      <c r="AI36" s="241">
        <v>627</v>
      </c>
      <c r="AJ36" s="241">
        <v>74</v>
      </c>
      <c r="AK36" s="241">
        <v>1</v>
      </c>
      <c r="AL36" s="241">
        <v>122</v>
      </c>
      <c r="AM36" s="1721">
        <v>13</v>
      </c>
      <c r="AN36" s="245" t="s">
        <v>153</v>
      </c>
      <c r="AO36" s="241" t="s">
        <v>153</v>
      </c>
      <c r="AP36" s="1720">
        <v>3</v>
      </c>
      <c r="AQ36" s="1720">
        <v>4</v>
      </c>
      <c r="AR36" s="241">
        <v>1105200</v>
      </c>
      <c r="AS36" s="476">
        <v>299.24</v>
      </c>
      <c r="AT36" s="241">
        <v>2031178</v>
      </c>
      <c r="AU36" s="246" t="s">
        <v>153</v>
      </c>
      <c r="AV36" s="245">
        <v>5</v>
      </c>
      <c r="AW36" s="241" t="s">
        <v>148</v>
      </c>
      <c r="AX36" s="241">
        <v>2</v>
      </c>
      <c r="AY36" s="1720">
        <v>1</v>
      </c>
      <c r="AZ36" s="241">
        <v>1</v>
      </c>
      <c r="BA36" s="241" t="s">
        <v>148</v>
      </c>
      <c r="BB36" s="241" t="s">
        <v>148</v>
      </c>
      <c r="BC36" s="241" t="s">
        <v>148</v>
      </c>
      <c r="BD36" s="241">
        <v>1</v>
      </c>
      <c r="BE36" s="241" t="s">
        <v>148</v>
      </c>
      <c r="BF36" s="1721">
        <v>72</v>
      </c>
      <c r="BG36" s="35"/>
      <c r="BH36" s="238">
        <v>12</v>
      </c>
      <c r="BI36" s="241">
        <v>27326</v>
      </c>
      <c r="BJ36" s="241">
        <v>1</v>
      </c>
      <c r="BK36" s="1720">
        <v>27438</v>
      </c>
      <c r="BL36" s="241">
        <v>3</v>
      </c>
      <c r="BM36" s="241">
        <v>3</v>
      </c>
      <c r="BN36" s="241">
        <v>67483</v>
      </c>
      <c r="BO36" s="241">
        <v>1</v>
      </c>
      <c r="BP36" s="241">
        <v>1625</v>
      </c>
      <c r="BQ36" s="241">
        <v>6</v>
      </c>
      <c r="BR36" s="1721">
        <v>26</v>
      </c>
      <c r="BS36" s="35"/>
      <c r="BT36" s="247">
        <v>2</v>
      </c>
      <c r="BU36" s="248">
        <v>2469</v>
      </c>
      <c r="BV36" s="723"/>
      <c r="BW36" s="238">
        <v>57</v>
      </c>
      <c r="BX36" s="241">
        <v>2089</v>
      </c>
      <c r="BY36" s="241">
        <v>1895</v>
      </c>
      <c r="BZ36" s="245">
        <v>1</v>
      </c>
      <c r="CA36" s="241">
        <v>16</v>
      </c>
      <c r="CB36" s="241">
        <v>19</v>
      </c>
      <c r="CC36" s="245">
        <v>39</v>
      </c>
      <c r="CD36" s="241">
        <v>1542</v>
      </c>
      <c r="CE36" s="1721">
        <v>1937</v>
      </c>
      <c r="CF36" s="35"/>
      <c r="CG36" s="238">
        <v>340</v>
      </c>
      <c r="CH36" s="241">
        <v>53</v>
      </c>
      <c r="CI36" s="241">
        <v>11</v>
      </c>
      <c r="CJ36" s="241">
        <v>11</v>
      </c>
      <c r="CK36" s="241">
        <v>2</v>
      </c>
      <c r="CL36" s="1720">
        <v>2</v>
      </c>
      <c r="CM36" s="1720">
        <v>4</v>
      </c>
      <c r="CN36" s="241">
        <v>114</v>
      </c>
      <c r="CO36" s="1720">
        <v>17534</v>
      </c>
      <c r="CP36" s="1720">
        <v>254</v>
      </c>
      <c r="CQ36" s="1720">
        <v>368</v>
      </c>
      <c r="CR36" s="1721">
        <v>166</v>
      </c>
      <c r="CS36" s="35"/>
      <c r="CT36" s="554">
        <v>168</v>
      </c>
      <c r="CU36" s="1539">
        <v>27</v>
      </c>
      <c r="CV36" s="1539">
        <v>2</v>
      </c>
      <c r="CW36" s="1539">
        <v>34</v>
      </c>
      <c r="CX36" s="1539">
        <v>87</v>
      </c>
      <c r="CY36" s="1722">
        <v>18</v>
      </c>
      <c r="CZ36" s="1722" t="s">
        <v>148</v>
      </c>
      <c r="DA36" s="555">
        <v>1248597</v>
      </c>
      <c r="DB36" s="1431">
        <v>25443</v>
      </c>
    </row>
    <row r="37" spans="1:106" ht="15.75" customHeight="1">
      <c r="A37" s="320" t="s">
        <v>198</v>
      </c>
      <c r="B37" s="75" t="s">
        <v>153</v>
      </c>
      <c r="C37" s="79" t="s">
        <v>153</v>
      </c>
      <c r="D37" s="79" t="s">
        <v>153</v>
      </c>
      <c r="E37" s="79">
        <v>20</v>
      </c>
      <c r="F37" s="79">
        <v>1</v>
      </c>
      <c r="G37" s="79">
        <v>3660</v>
      </c>
      <c r="H37" s="79">
        <v>149</v>
      </c>
      <c r="I37" s="184">
        <v>283</v>
      </c>
      <c r="J37" s="75">
        <v>47</v>
      </c>
      <c r="K37" s="76">
        <v>22002</v>
      </c>
      <c r="L37" s="1726">
        <v>1371</v>
      </c>
      <c r="M37" s="76">
        <v>1</v>
      </c>
      <c r="N37" s="76">
        <v>558</v>
      </c>
      <c r="O37" s="76">
        <v>25</v>
      </c>
      <c r="P37" s="1726">
        <v>20</v>
      </c>
      <c r="Q37" s="76">
        <v>10979</v>
      </c>
      <c r="R37" s="76">
        <v>770</v>
      </c>
      <c r="S37" s="76">
        <v>2</v>
      </c>
      <c r="T37" s="76">
        <v>432</v>
      </c>
      <c r="U37" s="1725">
        <v>29</v>
      </c>
      <c r="V37" s="79" t="s">
        <v>148</v>
      </c>
      <c r="W37" s="1726" t="s">
        <v>148</v>
      </c>
      <c r="X37" s="1726" t="s">
        <v>148</v>
      </c>
      <c r="Y37" s="76" t="s">
        <v>148</v>
      </c>
      <c r="Z37" s="1726" t="s">
        <v>148</v>
      </c>
      <c r="AA37" s="1726" t="s">
        <v>148</v>
      </c>
      <c r="AB37" s="76" t="s">
        <v>148</v>
      </c>
      <c r="AC37" s="1726" t="s">
        <v>148</v>
      </c>
      <c r="AD37" s="1726" t="s">
        <v>148</v>
      </c>
      <c r="AE37" s="76">
        <v>9</v>
      </c>
      <c r="AF37" s="76">
        <v>11065</v>
      </c>
      <c r="AG37" s="1725">
        <v>775</v>
      </c>
      <c r="AH37" s="75" t="s">
        <v>153</v>
      </c>
      <c r="AI37" s="76" t="s">
        <v>153</v>
      </c>
      <c r="AJ37" s="76" t="s">
        <v>153</v>
      </c>
      <c r="AK37" s="76">
        <v>2</v>
      </c>
      <c r="AL37" s="76">
        <v>115</v>
      </c>
      <c r="AM37" s="1725">
        <v>27</v>
      </c>
      <c r="AN37" s="35" t="s">
        <v>153</v>
      </c>
      <c r="AO37" s="76" t="s">
        <v>153</v>
      </c>
      <c r="AP37" s="1726">
        <v>5</v>
      </c>
      <c r="AQ37" s="1726">
        <v>2</v>
      </c>
      <c r="AR37" s="76">
        <v>1003995</v>
      </c>
      <c r="AS37" s="473">
        <v>261.60000000000002</v>
      </c>
      <c r="AT37" s="76">
        <v>2090796</v>
      </c>
      <c r="AU37" s="184">
        <v>1723</v>
      </c>
      <c r="AV37" s="79">
        <v>1</v>
      </c>
      <c r="AW37" s="76" t="s">
        <v>153</v>
      </c>
      <c r="AX37" s="76" t="s">
        <v>153</v>
      </c>
      <c r="AY37" s="1726" t="s">
        <v>153</v>
      </c>
      <c r="AZ37" s="76">
        <v>1</v>
      </c>
      <c r="BA37" s="202" t="s">
        <v>153</v>
      </c>
      <c r="BB37" s="76" t="s">
        <v>153</v>
      </c>
      <c r="BC37" s="202" t="s">
        <v>153</v>
      </c>
      <c r="BD37" s="202" t="s">
        <v>153</v>
      </c>
      <c r="BE37" s="202" t="s">
        <v>153</v>
      </c>
      <c r="BF37" s="1729">
        <v>8</v>
      </c>
      <c r="BG37" s="35"/>
      <c r="BH37" s="75">
        <v>6</v>
      </c>
      <c r="BI37" s="76">
        <v>40159</v>
      </c>
      <c r="BJ37" s="76">
        <v>1</v>
      </c>
      <c r="BK37" s="1726">
        <v>24134</v>
      </c>
      <c r="BL37" s="76">
        <v>2</v>
      </c>
      <c r="BM37" s="76">
        <v>2</v>
      </c>
      <c r="BN37" s="76">
        <v>49497</v>
      </c>
      <c r="BO37" s="76" t="s">
        <v>148</v>
      </c>
      <c r="BP37" s="76" t="s">
        <v>148</v>
      </c>
      <c r="BQ37" s="76">
        <v>3</v>
      </c>
      <c r="BR37" s="1725">
        <v>29</v>
      </c>
      <c r="BS37" s="35"/>
      <c r="BT37" s="80">
        <v>5</v>
      </c>
      <c r="BU37" s="380">
        <v>2108</v>
      </c>
      <c r="BV37" s="723"/>
      <c r="BW37" s="75" t="s">
        <v>153</v>
      </c>
      <c r="BX37" s="1726" t="s">
        <v>153</v>
      </c>
      <c r="BY37" s="1726" t="s">
        <v>153</v>
      </c>
      <c r="BZ37" s="76">
        <v>38</v>
      </c>
      <c r="CA37" s="76">
        <v>2690</v>
      </c>
      <c r="CB37" s="76">
        <v>2590</v>
      </c>
      <c r="CC37" s="79">
        <v>14</v>
      </c>
      <c r="CD37" s="76">
        <v>776</v>
      </c>
      <c r="CE37" s="1725">
        <v>800</v>
      </c>
      <c r="CF37" s="35"/>
      <c r="CG37" s="75">
        <v>398</v>
      </c>
      <c r="CH37" s="76">
        <v>76</v>
      </c>
      <c r="CI37" s="76">
        <v>15</v>
      </c>
      <c r="CJ37" s="76">
        <v>15</v>
      </c>
      <c r="CK37" s="76">
        <v>3</v>
      </c>
      <c r="CL37" s="1726">
        <v>2</v>
      </c>
      <c r="CM37" s="1726">
        <v>5</v>
      </c>
      <c r="CN37" s="76">
        <v>88</v>
      </c>
      <c r="CO37" s="1726">
        <v>17665</v>
      </c>
      <c r="CP37" s="1726">
        <v>286</v>
      </c>
      <c r="CQ37" s="1726">
        <v>108</v>
      </c>
      <c r="CR37" s="1725">
        <v>70</v>
      </c>
      <c r="CS37" s="35"/>
      <c r="CT37" s="627">
        <v>151</v>
      </c>
      <c r="CU37" s="1379">
        <v>4</v>
      </c>
      <c r="CV37" s="1379">
        <v>4</v>
      </c>
      <c r="CW37" s="1379">
        <v>9</v>
      </c>
      <c r="CX37" s="1379">
        <v>5</v>
      </c>
      <c r="CY37" s="1727">
        <v>12</v>
      </c>
      <c r="CZ37" s="1727">
        <v>117</v>
      </c>
      <c r="DA37" s="628">
        <v>1140734</v>
      </c>
      <c r="DB37" s="1380">
        <v>5820</v>
      </c>
    </row>
    <row r="38" spans="1:106" ht="15.75" customHeight="1">
      <c r="A38" s="236" t="s">
        <v>199</v>
      </c>
      <c r="B38" s="238" t="s">
        <v>148</v>
      </c>
      <c r="C38" s="245" t="s">
        <v>148</v>
      </c>
      <c r="D38" s="245" t="s">
        <v>148</v>
      </c>
      <c r="E38" s="245">
        <v>20</v>
      </c>
      <c r="F38" s="245">
        <v>2</v>
      </c>
      <c r="G38" s="241">
        <v>2709</v>
      </c>
      <c r="H38" s="245">
        <v>137</v>
      </c>
      <c r="I38" s="1721">
        <v>226</v>
      </c>
      <c r="J38" s="238">
        <v>42</v>
      </c>
      <c r="K38" s="241">
        <v>20064</v>
      </c>
      <c r="L38" s="1720">
        <v>1184</v>
      </c>
      <c r="M38" s="241" t="s">
        <v>148</v>
      </c>
      <c r="N38" s="241" t="s">
        <v>148</v>
      </c>
      <c r="O38" s="241" t="s">
        <v>148</v>
      </c>
      <c r="P38" s="1720">
        <v>19</v>
      </c>
      <c r="Q38" s="241">
        <v>10573</v>
      </c>
      <c r="R38" s="241">
        <v>661</v>
      </c>
      <c r="S38" s="241">
        <v>1</v>
      </c>
      <c r="T38" s="241" t="s">
        <v>181</v>
      </c>
      <c r="U38" s="1721" t="s">
        <v>181</v>
      </c>
      <c r="V38" s="245" t="s">
        <v>148</v>
      </c>
      <c r="W38" s="1720" t="s">
        <v>148</v>
      </c>
      <c r="X38" s="1720" t="s">
        <v>148</v>
      </c>
      <c r="Y38" s="241" t="s">
        <v>148</v>
      </c>
      <c r="Z38" s="1720" t="s">
        <v>148</v>
      </c>
      <c r="AA38" s="1720" t="s">
        <v>148</v>
      </c>
      <c r="AB38" s="241" t="s">
        <v>148</v>
      </c>
      <c r="AC38" s="1720" t="s">
        <v>148</v>
      </c>
      <c r="AD38" s="1720" t="s">
        <v>148</v>
      </c>
      <c r="AE38" s="241">
        <v>12</v>
      </c>
      <c r="AF38" s="241" t="s">
        <v>181</v>
      </c>
      <c r="AG38" s="1721" t="s">
        <v>181</v>
      </c>
      <c r="AH38" s="238" t="s">
        <v>148</v>
      </c>
      <c r="AI38" s="241" t="s">
        <v>148</v>
      </c>
      <c r="AJ38" s="241" t="s">
        <v>148</v>
      </c>
      <c r="AK38" s="241">
        <v>2</v>
      </c>
      <c r="AL38" s="241" t="s">
        <v>181</v>
      </c>
      <c r="AM38" s="1721" t="s">
        <v>181</v>
      </c>
      <c r="AN38" s="245" t="s">
        <v>153</v>
      </c>
      <c r="AO38" s="241" t="s">
        <v>153</v>
      </c>
      <c r="AP38" s="1720" t="s">
        <v>153</v>
      </c>
      <c r="AQ38" s="241">
        <v>4</v>
      </c>
      <c r="AR38" s="241">
        <v>1195396</v>
      </c>
      <c r="AS38" s="476">
        <v>314.95999999999998</v>
      </c>
      <c r="AT38" s="241">
        <v>2617957</v>
      </c>
      <c r="AU38" s="246">
        <v>4510</v>
      </c>
      <c r="AV38" s="245">
        <v>8</v>
      </c>
      <c r="AW38" s="241" t="s">
        <v>202</v>
      </c>
      <c r="AX38" s="241" t="s">
        <v>202</v>
      </c>
      <c r="AY38" s="1720">
        <v>7</v>
      </c>
      <c r="AZ38" s="241">
        <v>1</v>
      </c>
      <c r="BA38" s="241" t="s">
        <v>202</v>
      </c>
      <c r="BB38" s="241" t="s">
        <v>202</v>
      </c>
      <c r="BC38" s="241" t="s">
        <v>202</v>
      </c>
      <c r="BD38" s="241" t="s">
        <v>202</v>
      </c>
      <c r="BE38" s="241" t="s">
        <v>202</v>
      </c>
      <c r="BF38" s="1721">
        <v>23</v>
      </c>
      <c r="BG38" s="35"/>
      <c r="BH38" s="238">
        <v>5</v>
      </c>
      <c r="BI38" s="241">
        <v>32115</v>
      </c>
      <c r="BJ38" s="241" t="s">
        <v>153</v>
      </c>
      <c r="BK38" s="1720" t="s">
        <v>153</v>
      </c>
      <c r="BL38" s="241">
        <v>1</v>
      </c>
      <c r="BM38" s="241">
        <v>1</v>
      </c>
      <c r="BN38" s="241">
        <v>23595</v>
      </c>
      <c r="BO38" s="241">
        <v>2</v>
      </c>
      <c r="BP38" s="241">
        <v>1170</v>
      </c>
      <c r="BQ38" s="241">
        <v>2</v>
      </c>
      <c r="BR38" s="1721">
        <v>20</v>
      </c>
      <c r="BS38" s="35"/>
      <c r="BT38" s="238">
        <v>4</v>
      </c>
      <c r="BU38" s="1721">
        <v>1588</v>
      </c>
      <c r="BV38" s="723"/>
      <c r="BW38" s="238" t="s">
        <v>153</v>
      </c>
      <c r="BX38" s="241" t="s">
        <v>153</v>
      </c>
      <c r="BY38" s="241" t="s">
        <v>153</v>
      </c>
      <c r="BZ38" s="245">
        <v>60</v>
      </c>
      <c r="CA38" s="241">
        <v>5156</v>
      </c>
      <c r="CB38" s="241">
        <v>3381</v>
      </c>
      <c r="CC38" s="245" t="s">
        <v>202</v>
      </c>
      <c r="CD38" s="241" t="s">
        <v>202</v>
      </c>
      <c r="CE38" s="1721" t="s">
        <v>202</v>
      </c>
      <c r="CF38" s="35"/>
      <c r="CG38" s="238">
        <v>398</v>
      </c>
      <c r="CH38" s="241">
        <v>60</v>
      </c>
      <c r="CI38" s="241">
        <v>14</v>
      </c>
      <c r="CJ38" s="241">
        <v>14</v>
      </c>
      <c r="CK38" s="241">
        <v>3</v>
      </c>
      <c r="CL38" s="1720">
        <v>1</v>
      </c>
      <c r="CM38" s="1720">
        <v>8</v>
      </c>
      <c r="CN38" s="241">
        <v>61</v>
      </c>
      <c r="CO38" s="1720">
        <v>19483</v>
      </c>
      <c r="CP38" s="1720">
        <v>243</v>
      </c>
      <c r="CQ38" s="1720">
        <v>77</v>
      </c>
      <c r="CR38" s="1721">
        <v>61</v>
      </c>
      <c r="CS38" s="35"/>
      <c r="CT38" s="554">
        <v>89</v>
      </c>
      <c r="CU38" s="1539">
        <v>8</v>
      </c>
      <c r="CV38" s="1539">
        <v>2</v>
      </c>
      <c r="CW38" s="1539">
        <v>3</v>
      </c>
      <c r="CX38" s="1539">
        <v>7</v>
      </c>
      <c r="CY38" s="1738">
        <v>59</v>
      </c>
      <c r="CZ38" s="1738">
        <v>10</v>
      </c>
      <c r="DA38" s="555">
        <v>1043027</v>
      </c>
      <c r="DB38" s="1431">
        <v>24990</v>
      </c>
    </row>
    <row r="39" spans="1:106" ht="15.75" customHeight="1">
      <c r="A39" s="320" t="s">
        <v>201</v>
      </c>
      <c r="B39" s="103">
        <v>9</v>
      </c>
      <c r="C39" s="113">
        <v>264</v>
      </c>
      <c r="D39" s="113">
        <v>42</v>
      </c>
      <c r="E39" s="113">
        <v>10</v>
      </c>
      <c r="F39" s="113">
        <v>4</v>
      </c>
      <c r="G39" s="105">
        <v>1418</v>
      </c>
      <c r="H39" s="113">
        <v>259</v>
      </c>
      <c r="I39" s="1724">
        <v>109</v>
      </c>
      <c r="J39" s="75">
        <v>75</v>
      </c>
      <c r="K39" s="76">
        <v>22891</v>
      </c>
      <c r="L39" s="1726">
        <v>1689</v>
      </c>
      <c r="M39" s="76" t="s">
        <v>148</v>
      </c>
      <c r="N39" s="76" t="s">
        <v>148</v>
      </c>
      <c r="O39" s="76" t="s">
        <v>148</v>
      </c>
      <c r="P39" s="1726">
        <v>28</v>
      </c>
      <c r="Q39" s="76">
        <v>12075</v>
      </c>
      <c r="R39" s="76">
        <v>911</v>
      </c>
      <c r="S39" s="76">
        <v>1</v>
      </c>
      <c r="T39" s="76" t="s">
        <v>181</v>
      </c>
      <c r="U39" s="1725" t="s">
        <v>181</v>
      </c>
      <c r="V39" s="79" t="s">
        <v>148</v>
      </c>
      <c r="W39" s="1726" t="s">
        <v>148</v>
      </c>
      <c r="X39" s="1726" t="s">
        <v>148</v>
      </c>
      <c r="Y39" s="76" t="s">
        <v>148</v>
      </c>
      <c r="Z39" s="1726" t="s">
        <v>148</v>
      </c>
      <c r="AA39" s="1726" t="s">
        <v>148</v>
      </c>
      <c r="AB39" s="76" t="s">
        <v>148</v>
      </c>
      <c r="AC39" s="1726" t="s">
        <v>148</v>
      </c>
      <c r="AD39" s="1726" t="s">
        <v>148</v>
      </c>
      <c r="AE39" s="76">
        <v>15</v>
      </c>
      <c r="AF39" s="76">
        <v>9715</v>
      </c>
      <c r="AG39" s="1725">
        <v>784</v>
      </c>
      <c r="AH39" s="75" t="s">
        <v>148</v>
      </c>
      <c r="AI39" s="76" t="s">
        <v>148</v>
      </c>
      <c r="AJ39" s="76" t="s">
        <v>148</v>
      </c>
      <c r="AK39" s="76">
        <v>3</v>
      </c>
      <c r="AL39" s="76">
        <v>2295</v>
      </c>
      <c r="AM39" s="1725">
        <v>55</v>
      </c>
      <c r="AN39" s="79" t="s">
        <v>148</v>
      </c>
      <c r="AO39" s="76" t="s">
        <v>148</v>
      </c>
      <c r="AP39" s="1723">
        <v>2</v>
      </c>
      <c r="AQ39" s="105">
        <v>2</v>
      </c>
      <c r="AR39" s="105">
        <v>1672487</v>
      </c>
      <c r="AS39" s="474">
        <v>401</v>
      </c>
      <c r="AT39" s="105">
        <v>2753897</v>
      </c>
      <c r="AU39" s="119">
        <v>1709</v>
      </c>
      <c r="AV39" s="113">
        <v>19</v>
      </c>
      <c r="AW39" s="105" t="s">
        <v>148</v>
      </c>
      <c r="AX39" s="105">
        <v>2</v>
      </c>
      <c r="AY39" s="1723">
        <v>13</v>
      </c>
      <c r="AZ39" s="105">
        <v>3</v>
      </c>
      <c r="BA39" s="105" t="s">
        <v>148</v>
      </c>
      <c r="BB39" s="105" t="s">
        <v>148</v>
      </c>
      <c r="BC39" s="105" t="s">
        <v>148</v>
      </c>
      <c r="BD39" s="105">
        <v>1</v>
      </c>
      <c r="BE39" s="105" t="s">
        <v>148</v>
      </c>
      <c r="BF39" s="1724">
        <v>28</v>
      </c>
      <c r="BG39" s="35"/>
      <c r="BH39" s="103">
        <v>15</v>
      </c>
      <c r="BI39" s="105">
        <v>57855</v>
      </c>
      <c r="BJ39" s="105">
        <v>1</v>
      </c>
      <c r="BK39" s="1723">
        <v>28000</v>
      </c>
      <c r="BL39" s="105">
        <v>2</v>
      </c>
      <c r="BM39" s="105">
        <v>2</v>
      </c>
      <c r="BN39" s="105">
        <v>33870</v>
      </c>
      <c r="BO39" s="105">
        <v>6</v>
      </c>
      <c r="BP39" s="105">
        <v>2249</v>
      </c>
      <c r="BQ39" s="105">
        <v>20</v>
      </c>
      <c r="BR39" s="1724">
        <v>57</v>
      </c>
      <c r="BS39" s="35"/>
      <c r="BT39" s="103">
        <v>40</v>
      </c>
      <c r="BU39" s="1724">
        <v>2712</v>
      </c>
      <c r="BV39" s="723"/>
      <c r="BW39" s="75" t="s">
        <v>153</v>
      </c>
      <c r="BX39" s="76" t="s">
        <v>153</v>
      </c>
      <c r="BY39" s="76" t="s">
        <v>153</v>
      </c>
      <c r="BZ39" s="113">
        <v>70</v>
      </c>
      <c r="CA39" s="105">
        <v>6338</v>
      </c>
      <c r="CB39" s="105">
        <v>4131</v>
      </c>
      <c r="CC39" s="113">
        <v>3</v>
      </c>
      <c r="CD39" s="105">
        <v>95</v>
      </c>
      <c r="CE39" s="1724">
        <v>55</v>
      </c>
      <c r="CF39" s="35"/>
      <c r="CG39" s="103">
        <v>536</v>
      </c>
      <c r="CH39" s="105">
        <v>106</v>
      </c>
      <c r="CI39" s="105">
        <v>21</v>
      </c>
      <c r="CJ39" s="105">
        <v>21</v>
      </c>
      <c r="CK39" s="105">
        <v>4</v>
      </c>
      <c r="CL39" s="1723">
        <v>5</v>
      </c>
      <c r="CM39" s="1723">
        <v>7</v>
      </c>
      <c r="CN39" s="105">
        <v>107</v>
      </c>
      <c r="CO39" s="1723">
        <v>20893</v>
      </c>
      <c r="CP39" s="1723">
        <v>277</v>
      </c>
      <c r="CQ39" s="1723">
        <v>117</v>
      </c>
      <c r="CR39" s="1724">
        <v>121</v>
      </c>
      <c r="CS39" s="35"/>
      <c r="CT39" s="627">
        <v>225</v>
      </c>
      <c r="CU39" s="1379">
        <v>61</v>
      </c>
      <c r="CV39" s="1379">
        <v>14</v>
      </c>
      <c r="CW39" s="1379">
        <v>74</v>
      </c>
      <c r="CX39" s="1379">
        <v>54</v>
      </c>
      <c r="CY39" s="1739">
        <v>22</v>
      </c>
      <c r="CZ39" s="1739" t="s">
        <v>148</v>
      </c>
      <c r="DA39" s="790">
        <v>1570470.4</v>
      </c>
      <c r="DB39" s="1565">
        <v>145302.53</v>
      </c>
    </row>
    <row r="40" spans="1:106" ht="15.75" customHeight="1">
      <c r="A40" s="236" t="s">
        <v>203</v>
      </c>
      <c r="B40" s="140">
        <v>29</v>
      </c>
      <c r="C40" s="153">
        <v>2004</v>
      </c>
      <c r="D40" s="153">
        <v>255</v>
      </c>
      <c r="E40" s="153">
        <v>7</v>
      </c>
      <c r="F40" s="153">
        <v>4</v>
      </c>
      <c r="G40" s="153">
        <v>562</v>
      </c>
      <c r="H40" s="153">
        <v>176</v>
      </c>
      <c r="I40" s="147">
        <v>72</v>
      </c>
      <c r="J40" s="140">
        <v>37</v>
      </c>
      <c r="K40" s="141">
        <v>18094</v>
      </c>
      <c r="L40" s="1713">
        <v>1188</v>
      </c>
      <c r="M40" s="141">
        <v>1</v>
      </c>
      <c r="N40" s="141">
        <v>621</v>
      </c>
      <c r="O40" s="141">
        <v>26</v>
      </c>
      <c r="P40" s="1713">
        <v>18</v>
      </c>
      <c r="Q40" s="141">
        <v>8761</v>
      </c>
      <c r="R40" s="141">
        <v>665</v>
      </c>
      <c r="S40" s="141">
        <v>3</v>
      </c>
      <c r="T40" s="141">
        <v>677</v>
      </c>
      <c r="U40" s="1712">
        <v>55</v>
      </c>
      <c r="V40" s="141" t="s">
        <v>153</v>
      </c>
      <c r="W40" s="141" t="s">
        <v>153</v>
      </c>
      <c r="X40" s="141" t="s">
        <v>153</v>
      </c>
      <c r="Y40" s="141" t="s">
        <v>153</v>
      </c>
      <c r="Z40" s="1713" t="s">
        <v>153</v>
      </c>
      <c r="AA40" s="1713" t="s">
        <v>153</v>
      </c>
      <c r="AB40" s="141" t="s">
        <v>153</v>
      </c>
      <c r="AC40" s="1713" t="s">
        <v>153</v>
      </c>
      <c r="AD40" s="1713" t="s">
        <v>153</v>
      </c>
      <c r="AE40" s="141">
        <v>11</v>
      </c>
      <c r="AF40" s="141">
        <v>8764</v>
      </c>
      <c r="AG40" s="1712">
        <v>612</v>
      </c>
      <c r="AH40" s="140" t="s">
        <v>153</v>
      </c>
      <c r="AI40" s="141" t="s">
        <v>153</v>
      </c>
      <c r="AJ40" s="141" t="s">
        <v>153</v>
      </c>
      <c r="AK40" s="141">
        <v>4</v>
      </c>
      <c r="AL40" s="141">
        <f>140+124+53+719</f>
        <v>1036</v>
      </c>
      <c r="AM40" s="1712">
        <f>23+14+14+24</f>
        <v>75</v>
      </c>
      <c r="AN40" s="153" t="s">
        <v>153</v>
      </c>
      <c r="AO40" s="141" t="s">
        <v>153</v>
      </c>
      <c r="AP40" s="1713">
        <v>3</v>
      </c>
      <c r="AQ40" s="1713">
        <v>4</v>
      </c>
      <c r="AR40" s="141">
        <v>894364</v>
      </c>
      <c r="AS40" s="475">
        <v>260.10000000000002</v>
      </c>
      <c r="AT40" s="141">
        <v>1467854</v>
      </c>
      <c r="AU40" s="147">
        <v>6068</v>
      </c>
      <c r="AV40" s="153">
        <v>7</v>
      </c>
      <c r="AW40" s="141" t="s">
        <v>153</v>
      </c>
      <c r="AX40" s="141" t="s">
        <v>153</v>
      </c>
      <c r="AY40" s="1713">
        <v>5</v>
      </c>
      <c r="AZ40" s="141">
        <v>1</v>
      </c>
      <c r="BA40" s="141">
        <v>1</v>
      </c>
      <c r="BB40" s="141" t="s">
        <v>153</v>
      </c>
      <c r="BC40" s="141" t="s">
        <v>153</v>
      </c>
      <c r="BD40" s="141" t="s">
        <v>153</v>
      </c>
      <c r="BE40" s="141" t="s">
        <v>153</v>
      </c>
      <c r="BF40" s="1712">
        <v>20</v>
      </c>
      <c r="BG40" s="35"/>
      <c r="BH40" s="140">
        <v>4</v>
      </c>
      <c r="BI40" s="141">
        <v>11308</v>
      </c>
      <c r="BJ40" s="141">
        <v>1</v>
      </c>
      <c r="BK40" s="1713">
        <v>31853</v>
      </c>
      <c r="BL40" s="141">
        <v>1</v>
      </c>
      <c r="BM40" s="141">
        <v>1</v>
      </c>
      <c r="BN40" s="141">
        <v>21447</v>
      </c>
      <c r="BO40" s="141">
        <v>7</v>
      </c>
      <c r="BP40" s="141">
        <v>4822</v>
      </c>
      <c r="BQ40" s="141">
        <v>21</v>
      </c>
      <c r="BR40" s="1712">
        <v>67</v>
      </c>
      <c r="BS40" s="35"/>
      <c r="BT40" s="160">
        <v>1</v>
      </c>
      <c r="BU40" s="161">
        <v>1300</v>
      </c>
      <c r="BV40" s="723"/>
      <c r="BW40" s="140">
        <v>37</v>
      </c>
      <c r="BX40" s="141">
        <v>3208</v>
      </c>
      <c r="BY40" s="141">
        <v>3216</v>
      </c>
      <c r="BZ40" s="153" t="s">
        <v>153</v>
      </c>
      <c r="CA40" s="141" t="s">
        <v>153</v>
      </c>
      <c r="CB40" s="141" t="s">
        <v>153</v>
      </c>
      <c r="CC40" s="153">
        <v>33</v>
      </c>
      <c r="CD40" s="141">
        <v>1408</v>
      </c>
      <c r="CE40" s="1712">
        <v>1060</v>
      </c>
      <c r="CF40" s="35"/>
      <c r="CG40" s="140">
        <v>322</v>
      </c>
      <c r="CH40" s="141">
        <v>41</v>
      </c>
      <c r="CI40" s="141">
        <v>12</v>
      </c>
      <c r="CJ40" s="141">
        <v>12</v>
      </c>
      <c r="CK40" s="141">
        <v>4</v>
      </c>
      <c r="CL40" s="1713">
        <v>2</v>
      </c>
      <c r="CM40" s="1713">
        <v>3</v>
      </c>
      <c r="CN40" s="141">
        <v>87</v>
      </c>
      <c r="CO40" s="1713">
        <v>19348</v>
      </c>
      <c r="CP40" s="1713">
        <v>328</v>
      </c>
      <c r="CQ40" s="1713">
        <v>344</v>
      </c>
      <c r="CR40" s="1712">
        <v>198</v>
      </c>
      <c r="CS40" s="35"/>
      <c r="CT40" s="576">
        <v>351</v>
      </c>
      <c r="CU40" s="1538">
        <v>18</v>
      </c>
      <c r="CV40" s="1538">
        <v>4</v>
      </c>
      <c r="CW40" s="1538">
        <v>309</v>
      </c>
      <c r="CX40" s="1538">
        <v>10</v>
      </c>
      <c r="CY40" s="1714">
        <v>10</v>
      </c>
      <c r="CZ40" s="1722" t="s">
        <v>153</v>
      </c>
      <c r="DA40" s="577">
        <v>1052787</v>
      </c>
      <c r="DB40" s="1442">
        <v>6445</v>
      </c>
    </row>
    <row r="41" spans="1:106" ht="15.75" customHeight="1">
      <c r="A41" s="320" t="s">
        <v>204</v>
      </c>
      <c r="B41" s="110" t="s">
        <v>153</v>
      </c>
      <c r="C41" s="105" t="s">
        <v>153</v>
      </c>
      <c r="D41" s="113" t="s">
        <v>153</v>
      </c>
      <c r="E41" s="79">
        <v>16</v>
      </c>
      <c r="F41" s="79">
        <v>7</v>
      </c>
      <c r="G41" s="79">
        <v>2353</v>
      </c>
      <c r="H41" s="79">
        <v>800</v>
      </c>
      <c r="I41" s="184">
        <v>376</v>
      </c>
      <c r="J41" s="75">
        <v>41</v>
      </c>
      <c r="K41" s="76">
        <v>22297</v>
      </c>
      <c r="L41" s="1726">
        <v>1407</v>
      </c>
      <c r="M41" s="76">
        <v>1</v>
      </c>
      <c r="N41" s="76">
        <v>139</v>
      </c>
      <c r="O41" s="76">
        <v>14</v>
      </c>
      <c r="P41" s="1726">
        <v>17</v>
      </c>
      <c r="Q41" s="76">
        <v>9710</v>
      </c>
      <c r="R41" s="76">
        <v>694</v>
      </c>
      <c r="S41" s="76">
        <v>3</v>
      </c>
      <c r="T41" s="76">
        <v>814</v>
      </c>
      <c r="U41" s="1725">
        <v>57</v>
      </c>
      <c r="V41" s="79" t="s">
        <v>153</v>
      </c>
      <c r="W41" s="1726" t="s">
        <v>153</v>
      </c>
      <c r="X41" s="1726" t="s">
        <v>153</v>
      </c>
      <c r="Y41" s="76" t="s">
        <v>153</v>
      </c>
      <c r="Z41" s="1726" t="s">
        <v>153</v>
      </c>
      <c r="AA41" s="1726" t="s">
        <v>153</v>
      </c>
      <c r="AB41" s="76" t="s">
        <v>153</v>
      </c>
      <c r="AC41" s="1726" t="s">
        <v>153</v>
      </c>
      <c r="AD41" s="1726" t="s">
        <v>153</v>
      </c>
      <c r="AE41" s="76">
        <v>8</v>
      </c>
      <c r="AF41" s="76">
        <v>10238</v>
      </c>
      <c r="AG41" s="1725">
        <v>619</v>
      </c>
      <c r="AH41" s="75" t="s">
        <v>153</v>
      </c>
      <c r="AI41" s="76" t="s">
        <v>153</v>
      </c>
      <c r="AJ41" s="1726" t="s">
        <v>153</v>
      </c>
      <c r="AK41" s="76">
        <v>1</v>
      </c>
      <c r="AL41" s="76">
        <v>152</v>
      </c>
      <c r="AM41" s="1725">
        <v>18</v>
      </c>
      <c r="AN41" s="79" t="s">
        <v>153</v>
      </c>
      <c r="AO41" s="76" t="s">
        <v>153</v>
      </c>
      <c r="AP41" s="1726">
        <v>2</v>
      </c>
      <c r="AQ41" s="1726">
        <v>8</v>
      </c>
      <c r="AR41" s="76">
        <v>1000389</v>
      </c>
      <c r="AS41" s="473">
        <v>245.8</v>
      </c>
      <c r="AT41" s="628">
        <v>3581519</v>
      </c>
      <c r="AU41" s="184">
        <v>11121</v>
      </c>
      <c r="AV41" s="79">
        <v>5</v>
      </c>
      <c r="AW41" s="76">
        <v>1</v>
      </c>
      <c r="AX41" s="76" t="s">
        <v>153</v>
      </c>
      <c r="AY41" s="1726">
        <v>3</v>
      </c>
      <c r="AZ41" s="76">
        <v>1</v>
      </c>
      <c r="BA41" s="76" t="s">
        <v>153</v>
      </c>
      <c r="BB41" s="76" t="s">
        <v>153</v>
      </c>
      <c r="BC41" s="76" t="s">
        <v>153</v>
      </c>
      <c r="BD41" s="76" t="s">
        <v>153</v>
      </c>
      <c r="BE41" s="76" t="s">
        <v>153</v>
      </c>
      <c r="BF41" s="1725">
        <v>4</v>
      </c>
      <c r="BG41" s="35"/>
      <c r="BH41" s="75">
        <v>6</v>
      </c>
      <c r="BI41" s="76">
        <v>27429.64</v>
      </c>
      <c r="BJ41" s="76" t="s">
        <v>148</v>
      </c>
      <c r="BK41" s="1726" t="s">
        <v>148</v>
      </c>
      <c r="BL41" s="76">
        <v>4</v>
      </c>
      <c r="BM41" s="76">
        <v>4</v>
      </c>
      <c r="BN41" s="76">
        <v>40188.6</v>
      </c>
      <c r="BO41" s="76">
        <v>2</v>
      </c>
      <c r="BP41" s="76">
        <v>1219.4952000000001</v>
      </c>
      <c r="BQ41" s="76">
        <v>5</v>
      </c>
      <c r="BR41" s="1725">
        <v>20</v>
      </c>
      <c r="BS41" s="35"/>
      <c r="BT41" s="663">
        <v>2</v>
      </c>
      <c r="BU41" s="669">
        <v>1344</v>
      </c>
      <c r="BV41" s="727"/>
      <c r="BW41" s="75">
        <v>37</v>
      </c>
      <c r="BX41" s="76">
        <v>6090</v>
      </c>
      <c r="BY41" s="76">
        <v>4713</v>
      </c>
      <c r="BZ41" s="79">
        <v>1</v>
      </c>
      <c r="CA41" s="76">
        <v>280</v>
      </c>
      <c r="CB41" s="76">
        <v>144</v>
      </c>
      <c r="CC41" s="79" t="s">
        <v>153</v>
      </c>
      <c r="CD41" s="76" t="s">
        <v>153</v>
      </c>
      <c r="CE41" s="1725" t="s">
        <v>153</v>
      </c>
      <c r="CF41" s="35"/>
      <c r="CG41" s="75">
        <v>426</v>
      </c>
      <c r="CH41" s="76">
        <v>71</v>
      </c>
      <c r="CI41" s="76">
        <v>17</v>
      </c>
      <c r="CJ41" s="76">
        <v>17</v>
      </c>
      <c r="CK41" s="76">
        <v>3</v>
      </c>
      <c r="CL41" s="1726">
        <v>1</v>
      </c>
      <c r="CM41" s="1726">
        <v>6</v>
      </c>
      <c r="CN41" s="76">
        <v>80</v>
      </c>
      <c r="CO41" s="1726">
        <v>26847</v>
      </c>
      <c r="CP41" s="1726">
        <v>562</v>
      </c>
      <c r="CQ41" s="1726">
        <v>268</v>
      </c>
      <c r="CR41" s="1725">
        <v>154</v>
      </c>
      <c r="CS41" s="35"/>
      <c r="CT41" s="627">
        <v>61</v>
      </c>
      <c r="CU41" s="1379">
        <v>19</v>
      </c>
      <c r="CV41" s="1379">
        <v>1</v>
      </c>
      <c r="CW41" s="1379">
        <v>31</v>
      </c>
      <c r="CX41" s="1379">
        <v>7</v>
      </c>
      <c r="CY41" s="1727">
        <v>3</v>
      </c>
      <c r="CZ41" s="1727" t="s">
        <v>153</v>
      </c>
      <c r="DA41" s="628">
        <v>862237.37</v>
      </c>
      <c r="DB41" s="1380">
        <v>67545.119999999995</v>
      </c>
    </row>
    <row r="42" spans="1:106" ht="15.75" customHeight="1">
      <c r="A42" s="236" t="s">
        <v>205</v>
      </c>
      <c r="B42" s="140">
        <v>13</v>
      </c>
      <c r="C42" s="245">
        <v>703</v>
      </c>
      <c r="D42" s="245">
        <v>92</v>
      </c>
      <c r="E42" s="245">
        <v>16</v>
      </c>
      <c r="F42" s="153">
        <v>16</v>
      </c>
      <c r="G42" s="245">
        <v>3951</v>
      </c>
      <c r="H42" s="245">
        <v>1035</v>
      </c>
      <c r="I42" s="246">
        <v>344</v>
      </c>
      <c r="J42" s="140">
        <v>36</v>
      </c>
      <c r="K42" s="241">
        <v>21487</v>
      </c>
      <c r="L42" s="1720">
        <v>1334</v>
      </c>
      <c r="M42" s="241">
        <v>0</v>
      </c>
      <c r="N42" s="241">
        <v>0</v>
      </c>
      <c r="O42" s="241">
        <v>0</v>
      </c>
      <c r="P42" s="1713">
        <v>18</v>
      </c>
      <c r="Q42" s="241">
        <v>9175</v>
      </c>
      <c r="R42" s="241">
        <v>658</v>
      </c>
      <c r="S42" s="141">
        <v>2</v>
      </c>
      <c r="T42" s="241">
        <v>1282</v>
      </c>
      <c r="U42" s="1721">
        <v>71</v>
      </c>
      <c r="V42" s="153" t="s">
        <v>148</v>
      </c>
      <c r="W42" s="1713" t="s">
        <v>148</v>
      </c>
      <c r="X42" s="1713" t="s">
        <v>148</v>
      </c>
      <c r="Y42" s="141" t="s">
        <v>148</v>
      </c>
      <c r="Z42" s="1713" t="s">
        <v>148</v>
      </c>
      <c r="AA42" s="1713" t="s">
        <v>148</v>
      </c>
      <c r="AB42" s="141" t="s">
        <v>148</v>
      </c>
      <c r="AC42" s="141" t="s">
        <v>148</v>
      </c>
      <c r="AD42" s="141" t="s">
        <v>148</v>
      </c>
      <c r="AE42" s="141">
        <v>8</v>
      </c>
      <c r="AF42" s="241">
        <v>7718</v>
      </c>
      <c r="AG42" s="1721">
        <v>412</v>
      </c>
      <c r="AH42" s="141" t="s">
        <v>148</v>
      </c>
      <c r="AI42" s="141" t="s">
        <v>148</v>
      </c>
      <c r="AJ42" s="141" t="s">
        <v>148</v>
      </c>
      <c r="AK42" s="141" t="s">
        <v>148</v>
      </c>
      <c r="AL42" s="141" t="s">
        <v>148</v>
      </c>
      <c r="AM42" s="1712" t="s">
        <v>148</v>
      </c>
      <c r="AN42" s="153" t="s">
        <v>148</v>
      </c>
      <c r="AO42" s="141" t="s">
        <v>148</v>
      </c>
      <c r="AP42" s="1713">
        <v>1</v>
      </c>
      <c r="AQ42" s="1713">
        <v>10</v>
      </c>
      <c r="AR42" s="241">
        <v>1296854</v>
      </c>
      <c r="AS42" s="476">
        <v>340.2</v>
      </c>
      <c r="AT42" s="241">
        <v>3714113</v>
      </c>
      <c r="AU42" s="246">
        <v>31688</v>
      </c>
      <c r="AV42" s="153">
        <v>4</v>
      </c>
      <c r="AW42" s="141" t="s">
        <v>148</v>
      </c>
      <c r="AX42" s="141" t="s">
        <v>148</v>
      </c>
      <c r="AY42" s="1713">
        <v>3</v>
      </c>
      <c r="AZ42" s="141">
        <v>1</v>
      </c>
      <c r="BA42" s="141" t="s">
        <v>148</v>
      </c>
      <c r="BB42" s="141" t="s">
        <v>148</v>
      </c>
      <c r="BC42" s="141" t="s">
        <v>148</v>
      </c>
      <c r="BD42" s="141" t="s">
        <v>148</v>
      </c>
      <c r="BE42" s="141" t="s">
        <v>148</v>
      </c>
      <c r="BF42" s="1712">
        <v>30</v>
      </c>
      <c r="BG42" s="35"/>
      <c r="BH42" s="140">
        <v>5</v>
      </c>
      <c r="BI42" s="141">
        <v>29727</v>
      </c>
      <c r="BJ42" s="141">
        <v>1</v>
      </c>
      <c r="BK42" s="1713">
        <v>30975</v>
      </c>
      <c r="BL42" s="141">
        <v>4</v>
      </c>
      <c r="BM42" s="141">
        <v>5</v>
      </c>
      <c r="BN42" s="141">
        <v>46281</v>
      </c>
      <c r="BO42" s="141">
        <v>2</v>
      </c>
      <c r="BP42" s="141">
        <v>4735</v>
      </c>
      <c r="BQ42" s="141">
        <v>4</v>
      </c>
      <c r="BR42" s="1712">
        <v>15</v>
      </c>
      <c r="BS42" s="35"/>
      <c r="BT42" s="160">
        <v>14</v>
      </c>
      <c r="BU42" s="1740">
        <v>1382</v>
      </c>
      <c r="BV42" s="723"/>
      <c r="BW42" s="238">
        <v>22</v>
      </c>
      <c r="BX42" s="241">
        <v>3312</v>
      </c>
      <c r="BY42" s="241">
        <v>3059</v>
      </c>
      <c r="BZ42" s="245">
        <v>14</v>
      </c>
      <c r="CA42" s="241">
        <v>2250</v>
      </c>
      <c r="CB42" s="241">
        <v>1915</v>
      </c>
      <c r="CC42" s="141" t="s">
        <v>148</v>
      </c>
      <c r="CD42" s="141" t="s">
        <v>148</v>
      </c>
      <c r="CE42" s="1712" t="s">
        <v>148</v>
      </c>
      <c r="CF42" s="35"/>
      <c r="CG42" s="140">
        <v>369</v>
      </c>
      <c r="CH42" s="141">
        <v>44</v>
      </c>
      <c r="CI42" s="141">
        <v>13</v>
      </c>
      <c r="CJ42" s="141">
        <v>13</v>
      </c>
      <c r="CK42" s="141">
        <v>4</v>
      </c>
      <c r="CL42" s="141" t="s">
        <v>148</v>
      </c>
      <c r="CM42" s="1713">
        <v>4</v>
      </c>
      <c r="CN42" s="241">
        <v>39</v>
      </c>
      <c r="CO42" s="1720">
        <v>21529</v>
      </c>
      <c r="CP42" s="1720">
        <v>312</v>
      </c>
      <c r="CQ42" s="1713">
        <v>111</v>
      </c>
      <c r="CR42" s="1712">
        <v>135</v>
      </c>
      <c r="CS42" s="35"/>
      <c r="CT42" s="554">
        <v>84</v>
      </c>
      <c r="CU42" s="1538">
        <v>15</v>
      </c>
      <c r="CV42" s="1538">
        <v>2</v>
      </c>
      <c r="CW42" s="1539">
        <v>28</v>
      </c>
      <c r="CX42" s="1539">
        <v>28</v>
      </c>
      <c r="CY42" s="1722">
        <v>11</v>
      </c>
      <c r="CZ42" s="577" t="s">
        <v>148</v>
      </c>
      <c r="DA42" s="1539">
        <v>913803.27</v>
      </c>
      <c r="DB42" s="1431">
        <v>14114.29</v>
      </c>
    </row>
    <row r="43" spans="1:106" ht="15.75" customHeight="1">
      <c r="A43" s="320" t="s">
        <v>208</v>
      </c>
      <c r="B43" s="103">
        <v>14</v>
      </c>
      <c r="C43" s="79">
        <v>410</v>
      </c>
      <c r="D43" s="113">
        <v>68</v>
      </c>
      <c r="E43" s="79">
        <v>6</v>
      </c>
      <c r="F43" s="79" t="s">
        <v>153</v>
      </c>
      <c r="G43" s="79">
        <v>1505</v>
      </c>
      <c r="H43" s="79">
        <v>1505</v>
      </c>
      <c r="I43" s="184">
        <v>118</v>
      </c>
      <c r="J43" s="103">
        <v>41</v>
      </c>
      <c r="K43" s="76">
        <v>17512</v>
      </c>
      <c r="L43" s="1723">
        <v>1326</v>
      </c>
      <c r="M43" s="105">
        <v>1</v>
      </c>
      <c r="N43" s="105">
        <v>370</v>
      </c>
      <c r="O43" s="105">
        <v>31</v>
      </c>
      <c r="P43" s="1723">
        <v>18</v>
      </c>
      <c r="Q43" s="76">
        <v>9849</v>
      </c>
      <c r="R43" s="105">
        <v>706</v>
      </c>
      <c r="S43" s="105">
        <v>3</v>
      </c>
      <c r="T43" s="105">
        <v>1208</v>
      </c>
      <c r="U43" s="1724">
        <v>78</v>
      </c>
      <c r="V43" s="113" t="s">
        <v>153</v>
      </c>
      <c r="W43" s="105" t="s">
        <v>153</v>
      </c>
      <c r="X43" s="1723" t="s">
        <v>153</v>
      </c>
      <c r="Y43" s="105" t="s">
        <v>153</v>
      </c>
      <c r="Z43" s="105" t="s">
        <v>153</v>
      </c>
      <c r="AA43" s="1723" t="s">
        <v>153</v>
      </c>
      <c r="AB43" s="105" t="s">
        <v>153</v>
      </c>
      <c r="AC43" s="105" t="s">
        <v>153</v>
      </c>
      <c r="AD43" s="1723" t="s">
        <v>153</v>
      </c>
      <c r="AE43" s="105">
        <v>9</v>
      </c>
      <c r="AF43" s="105">
        <v>7470</v>
      </c>
      <c r="AG43" s="1724">
        <v>511</v>
      </c>
      <c r="AH43" s="103" t="s">
        <v>153</v>
      </c>
      <c r="AI43" s="105" t="s">
        <v>153</v>
      </c>
      <c r="AJ43" s="105" t="s">
        <v>153</v>
      </c>
      <c r="AK43" s="105" t="s">
        <v>153</v>
      </c>
      <c r="AL43" s="105" t="s">
        <v>153</v>
      </c>
      <c r="AM43" s="1724" t="s">
        <v>153</v>
      </c>
      <c r="AN43" s="79" t="s">
        <v>153</v>
      </c>
      <c r="AO43" s="76" t="s">
        <v>153</v>
      </c>
      <c r="AP43" s="1723">
        <v>1</v>
      </c>
      <c r="AQ43" s="1726">
        <v>5</v>
      </c>
      <c r="AR43" s="76">
        <v>1623031</v>
      </c>
      <c r="AS43" s="473">
        <v>466.4</v>
      </c>
      <c r="AT43" s="76">
        <v>3027979</v>
      </c>
      <c r="AU43" s="184">
        <v>2098</v>
      </c>
      <c r="AV43" s="113">
        <v>4</v>
      </c>
      <c r="AW43" s="1723" t="s">
        <v>153</v>
      </c>
      <c r="AX43" s="76">
        <v>1</v>
      </c>
      <c r="AY43" s="1726">
        <v>3</v>
      </c>
      <c r="AZ43" s="1723" t="s">
        <v>153</v>
      </c>
      <c r="BA43" s="1723" t="s">
        <v>153</v>
      </c>
      <c r="BB43" s="1723" t="s">
        <v>153</v>
      </c>
      <c r="BC43" s="1723" t="s">
        <v>153</v>
      </c>
      <c r="BD43" s="1723" t="s">
        <v>153</v>
      </c>
      <c r="BE43" s="1723" t="s">
        <v>153</v>
      </c>
      <c r="BF43" s="1724">
        <v>13</v>
      </c>
      <c r="BG43" s="35"/>
      <c r="BH43" s="103">
        <v>3</v>
      </c>
      <c r="BI43" s="76">
        <v>14721</v>
      </c>
      <c r="BJ43" s="105">
        <v>1</v>
      </c>
      <c r="BK43" s="1723">
        <v>24719</v>
      </c>
      <c r="BL43" s="105">
        <v>2</v>
      </c>
      <c r="BM43" s="105">
        <v>2</v>
      </c>
      <c r="BN43" s="105">
        <v>26843</v>
      </c>
      <c r="BO43" s="76">
        <f>1+1+1</f>
        <v>3</v>
      </c>
      <c r="BP43" s="76">
        <f>287+362+1538</f>
        <v>2187</v>
      </c>
      <c r="BQ43" s="105">
        <v>5</v>
      </c>
      <c r="BR43" s="1724">
        <v>24</v>
      </c>
      <c r="BS43" s="35"/>
      <c r="BT43" s="117">
        <v>3</v>
      </c>
      <c r="BU43" s="118">
        <v>1564</v>
      </c>
      <c r="BV43" s="723"/>
      <c r="BW43" s="103">
        <v>62</v>
      </c>
      <c r="BX43" s="105">
        <v>3660</v>
      </c>
      <c r="BY43" s="105">
        <v>3104</v>
      </c>
      <c r="BZ43" s="76" t="s">
        <v>153</v>
      </c>
      <c r="CA43" s="76" t="s">
        <v>153</v>
      </c>
      <c r="CB43" s="76" t="s">
        <v>153</v>
      </c>
      <c r="CC43" s="113">
        <v>29</v>
      </c>
      <c r="CD43" s="105">
        <v>1160</v>
      </c>
      <c r="CE43" s="1724">
        <v>682</v>
      </c>
      <c r="CF43" s="35"/>
      <c r="CG43" s="103">
        <v>327</v>
      </c>
      <c r="CH43" s="105">
        <v>53</v>
      </c>
      <c r="CI43" s="105">
        <v>14</v>
      </c>
      <c r="CJ43" s="105">
        <v>14</v>
      </c>
      <c r="CK43" s="105">
        <v>2</v>
      </c>
      <c r="CL43" s="1723">
        <v>4</v>
      </c>
      <c r="CM43" s="1723">
        <v>3</v>
      </c>
      <c r="CN43" s="105">
        <v>70</v>
      </c>
      <c r="CO43" s="1723">
        <v>23776</v>
      </c>
      <c r="CP43" s="1723">
        <v>390</v>
      </c>
      <c r="CQ43" s="1726">
        <v>129</v>
      </c>
      <c r="CR43" s="1725">
        <v>92</v>
      </c>
      <c r="CS43" s="35"/>
      <c r="CT43" s="690">
        <v>47</v>
      </c>
      <c r="CU43" s="1556">
        <v>16</v>
      </c>
      <c r="CV43" s="1556" t="s">
        <v>148</v>
      </c>
      <c r="CW43" s="1556">
        <v>13</v>
      </c>
      <c r="CX43" s="1556">
        <v>6</v>
      </c>
      <c r="CY43" s="1733">
        <v>12</v>
      </c>
      <c r="CZ43" s="1733" t="s">
        <v>148</v>
      </c>
      <c r="DA43" s="1380">
        <v>789421.64</v>
      </c>
      <c r="DB43" s="1558">
        <v>21038</v>
      </c>
    </row>
    <row r="44" spans="1:106" ht="15.75" customHeight="1">
      <c r="A44" s="236" t="s">
        <v>209</v>
      </c>
      <c r="B44" s="140">
        <v>6</v>
      </c>
      <c r="C44" s="153">
        <v>422</v>
      </c>
      <c r="D44" s="153">
        <v>51</v>
      </c>
      <c r="E44" s="153">
        <v>13</v>
      </c>
      <c r="F44" s="153">
        <v>4</v>
      </c>
      <c r="G44" s="153">
        <v>2992</v>
      </c>
      <c r="H44" s="153">
        <v>0</v>
      </c>
      <c r="I44" s="147">
        <v>231</v>
      </c>
      <c r="J44" s="140">
        <v>44</v>
      </c>
      <c r="K44" s="555">
        <v>19786</v>
      </c>
      <c r="L44" s="1539">
        <v>1450</v>
      </c>
      <c r="M44" s="141">
        <v>1</v>
      </c>
      <c r="N44" s="141">
        <v>573</v>
      </c>
      <c r="O44" s="141">
        <v>37</v>
      </c>
      <c r="P44" s="1713">
        <v>19</v>
      </c>
      <c r="Q44" s="555">
        <v>10119</v>
      </c>
      <c r="R44" s="555">
        <v>757</v>
      </c>
      <c r="S44" s="141">
        <v>2</v>
      </c>
      <c r="T44" s="141">
        <v>503</v>
      </c>
      <c r="U44" s="1712">
        <v>41</v>
      </c>
      <c r="V44" s="153" t="s">
        <v>153</v>
      </c>
      <c r="W44" s="1713" t="s">
        <v>153</v>
      </c>
      <c r="X44" s="1713" t="s">
        <v>153</v>
      </c>
      <c r="Y44" s="1713" t="s">
        <v>153</v>
      </c>
      <c r="Z44" s="1713" t="s">
        <v>153</v>
      </c>
      <c r="AA44" s="1713" t="s">
        <v>153</v>
      </c>
      <c r="AB44" s="141" t="s">
        <v>153</v>
      </c>
      <c r="AC44" s="141" t="s">
        <v>153</v>
      </c>
      <c r="AD44" s="1713" t="s">
        <v>153</v>
      </c>
      <c r="AE44" s="141">
        <v>2</v>
      </c>
      <c r="AF44" s="141">
        <v>2289</v>
      </c>
      <c r="AG44" s="1712">
        <v>119</v>
      </c>
      <c r="AH44" s="140" t="s">
        <v>153</v>
      </c>
      <c r="AI44" s="141" t="s">
        <v>153</v>
      </c>
      <c r="AJ44" s="141" t="s">
        <v>153</v>
      </c>
      <c r="AK44" s="141" t="s">
        <v>153</v>
      </c>
      <c r="AL44" s="141" t="s">
        <v>153</v>
      </c>
      <c r="AM44" s="1712" t="s">
        <v>153</v>
      </c>
      <c r="AN44" s="153" t="s">
        <v>153</v>
      </c>
      <c r="AO44" s="141" t="s">
        <v>153</v>
      </c>
      <c r="AP44" s="1713">
        <v>2</v>
      </c>
      <c r="AQ44" s="1713">
        <v>8</v>
      </c>
      <c r="AR44" s="141">
        <v>1218530</v>
      </c>
      <c r="AS44" s="475">
        <v>308.3</v>
      </c>
      <c r="AT44" s="141">
        <v>3816054</v>
      </c>
      <c r="AU44" s="147">
        <v>10054</v>
      </c>
      <c r="AV44" s="153" t="s">
        <v>153</v>
      </c>
      <c r="AW44" s="141" t="s">
        <v>153</v>
      </c>
      <c r="AX44" s="141" t="s">
        <v>153</v>
      </c>
      <c r="AY44" s="1713" t="s">
        <v>153</v>
      </c>
      <c r="AZ44" s="141" t="s">
        <v>153</v>
      </c>
      <c r="BA44" s="141" t="s">
        <v>153</v>
      </c>
      <c r="BB44" s="141" t="s">
        <v>153</v>
      </c>
      <c r="BC44" s="141" t="s">
        <v>153</v>
      </c>
      <c r="BD44" s="141" t="s">
        <v>153</v>
      </c>
      <c r="BE44" s="141" t="s">
        <v>153</v>
      </c>
      <c r="BF44" s="1712" t="s">
        <v>153</v>
      </c>
      <c r="BG44" s="35"/>
      <c r="BH44" s="140">
        <v>4</v>
      </c>
      <c r="BI44" s="141">
        <v>17904</v>
      </c>
      <c r="BJ44" s="141">
        <v>1</v>
      </c>
      <c r="BK44" s="1713">
        <v>25462</v>
      </c>
      <c r="BL44" s="141">
        <v>1</v>
      </c>
      <c r="BM44" s="141">
        <v>1</v>
      </c>
      <c r="BN44" s="141">
        <v>11220</v>
      </c>
      <c r="BO44" s="141">
        <v>2</v>
      </c>
      <c r="BP44" s="241">
        <v>10591</v>
      </c>
      <c r="BQ44" s="241">
        <v>5</v>
      </c>
      <c r="BR44" s="1721">
        <v>21</v>
      </c>
      <c r="BS44" s="35"/>
      <c r="BT44" s="160">
        <v>2</v>
      </c>
      <c r="BU44" s="163">
        <v>1468</v>
      </c>
      <c r="BV44" s="723"/>
      <c r="BW44" s="140">
        <v>55</v>
      </c>
      <c r="BX44" s="141">
        <v>2750</v>
      </c>
      <c r="BY44" s="141">
        <v>2481</v>
      </c>
      <c r="BZ44" s="153">
        <v>47</v>
      </c>
      <c r="CA44" s="141">
        <v>2340</v>
      </c>
      <c r="CB44" s="141">
        <v>2029</v>
      </c>
      <c r="CC44" s="153" t="s">
        <v>153</v>
      </c>
      <c r="CD44" s="141" t="s">
        <v>153</v>
      </c>
      <c r="CE44" s="1712" t="s">
        <v>153</v>
      </c>
      <c r="CF44" s="35"/>
      <c r="CG44" s="1713">
        <v>487</v>
      </c>
      <c r="CH44" s="1713">
        <v>32</v>
      </c>
      <c r="CI44" s="1713">
        <v>14</v>
      </c>
      <c r="CJ44" s="1713">
        <v>14</v>
      </c>
      <c r="CK44" s="1713">
        <v>2</v>
      </c>
      <c r="CL44" s="1720" t="s">
        <v>153</v>
      </c>
      <c r="CM44" s="1713">
        <v>9</v>
      </c>
      <c r="CN44" s="1713">
        <v>101</v>
      </c>
      <c r="CO44" s="1539">
        <v>25839</v>
      </c>
      <c r="CP44" s="1713">
        <v>187</v>
      </c>
      <c r="CQ44" s="1713">
        <v>53</v>
      </c>
      <c r="CR44" s="1712">
        <v>96</v>
      </c>
      <c r="CS44" s="35"/>
      <c r="CT44" s="576">
        <v>59</v>
      </c>
      <c r="CU44" s="1538">
        <v>7</v>
      </c>
      <c r="CV44" s="1538" t="s">
        <v>153</v>
      </c>
      <c r="CW44" s="1538">
        <v>28</v>
      </c>
      <c r="CX44" s="1538">
        <v>16</v>
      </c>
      <c r="CY44" s="1714">
        <v>8</v>
      </c>
      <c r="CZ44" s="1722" t="s">
        <v>153</v>
      </c>
      <c r="DA44" s="577">
        <v>741053.28</v>
      </c>
      <c r="DB44" s="1442">
        <v>4395.1000000000004</v>
      </c>
    </row>
    <row r="45" spans="1:106" ht="15.75" customHeight="1">
      <c r="A45" s="320" t="s">
        <v>273</v>
      </c>
      <c r="B45" s="103" t="s">
        <v>148</v>
      </c>
      <c r="C45" s="113" t="s">
        <v>148</v>
      </c>
      <c r="D45" s="113" t="s">
        <v>148</v>
      </c>
      <c r="E45" s="113">
        <v>1</v>
      </c>
      <c r="F45" s="113" t="s">
        <v>148</v>
      </c>
      <c r="G45" s="113">
        <v>441</v>
      </c>
      <c r="H45" s="113">
        <v>441</v>
      </c>
      <c r="I45" s="119">
        <v>24</v>
      </c>
      <c r="J45" s="103">
        <v>27</v>
      </c>
      <c r="K45" s="105">
        <v>12358</v>
      </c>
      <c r="L45" s="1723">
        <v>824</v>
      </c>
      <c r="M45" s="105" t="s">
        <v>148</v>
      </c>
      <c r="N45" s="105" t="s">
        <v>148</v>
      </c>
      <c r="O45" s="105" t="s">
        <v>148</v>
      </c>
      <c r="P45" s="1723">
        <v>14</v>
      </c>
      <c r="Q45" s="105">
        <v>6061</v>
      </c>
      <c r="R45" s="105">
        <v>468</v>
      </c>
      <c r="S45" s="105">
        <v>1</v>
      </c>
      <c r="T45" s="105">
        <v>140</v>
      </c>
      <c r="U45" s="1724">
        <v>14</v>
      </c>
      <c r="V45" s="113">
        <v>1</v>
      </c>
      <c r="W45" s="105">
        <v>397</v>
      </c>
      <c r="X45" s="105">
        <v>43</v>
      </c>
      <c r="Y45" s="105" t="s">
        <v>153</v>
      </c>
      <c r="Z45" s="105" t="s">
        <v>153</v>
      </c>
      <c r="AA45" s="105" t="s">
        <v>153</v>
      </c>
      <c r="AB45" s="105" t="s">
        <v>148</v>
      </c>
      <c r="AC45" s="105" t="s">
        <v>148</v>
      </c>
      <c r="AD45" s="105" t="s">
        <v>148</v>
      </c>
      <c r="AE45" s="105">
        <v>5</v>
      </c>
      <c r="AF45" s="105">
        <v>3641</v>
      </c>
      <c r="AG45" s="1724">
        <v>248</v>
      </c>
      <c r="AH45" s="103" t="s">
        <v>148</v>
      </c>
      <c r="AI45" s="105" t="s">
        <v>148</v>
      </c>
      <c r="AJ45" s="105" t="s">
        <v>148</v>
      </c>
      <c r="AK45" s="105" t="s">
        <v>148</v>
      </c>
      <c r="AL45" s="105" t="s">
        <v>148</v>
      </c>
      <c r="AM45" s="1724" t="s">
        <v>148</v>
      </c>
      <c r="AN45" s="113" t="s">
        <v>148</v>
      </c>
      <c r="AO45" s="105" t="s">
        <v>148</v>
      </c>
      <c r="AP45" s="1723" t="s">
        <v>148</v>
      </c>
      <c r="AQ45" s="1723">
        <v>4</v>
      </c>
      <c r="AR45" s="105">
        <v>761974</v>
      </c>
      <c r="AS45" s="473">
        <v>291.7</v>
      </c>
      <c r="AT45" s="105">
        <v>1647804</v>
      </c>
      <c r="AU45" s="119" t="s">
        <v>153</v>
      </c>
      <c r="AV45" s="113">
        <f>SUM(AW45:BE45)</f>
        <v>4</v>
      </c>
      <c r="AW45" s="105" t="s">
        <v>153</v>
      </c>
      <c r="AX45" s="105" t="s">
        <v>148</v>
      </c>
      <c r="AY45" s="1723">
        <v>4</v>
      </c>
      <c r="AZ45" s="105" t="s">
        <v>148</v>
      </c>
      <c r="BA45" s="105" t="s">
        <v>148</v>
      </c>
      <c r="BB45" s="105" t="s">
        <v>148</v>
      </c>
      <c r="BC45" s="105" t="s">
        <v>148</v>
      </c>
      <c r="BD45" s="105" t="s">
        <v>148</v>
      </c>
      <c r="BE45" s="105" t="s">
        <v>148</v>
      </c>
      <c r="BF45" s="1724" t="s">
        <v>153</v>
      </c>
      <c r="BG45" s="35"/>
      <c r="BH45" s="103">
        <v>2</v>
      </c>
      <c r="BI45" s="105">
        <v>15776</v>
      </c>
      <c r="BJ45" s="105" t="s">
        <v>148</v>
      </c>
      <c r="BK45" s="1723" t="s">
        <v>148</v>
      </c>
      <c r="BL45" s="105">
        <v>2</v>
      </c>
      <c r="BM45" s="105">
        <v>2</v>
      </c>
      <c r="BN45" s="105">
        <v>18365</v>
      </c>
      <c r="BO45" s="105">
        <v>1</v>
      </c>
      <c r="BP45" s="105">
        <v>454</v>
      </c>
      <c r="BQ45" s="105">
        <v>2</v>
      </c>
      <c r="BR45" s="1724">
        <v>8</v>
      </c>
      <c r="BS45" s="35"/>
      <c r="BT45" s="117">
        <v>1</v>
      </c>
      <c r="BU45" s="888">
        <v>1317</v>
      </c>
      <c r="BV45" s="723"/>
      <c r="BW45" s="70">
        <v>27</v>
      </c>
      <c r="BX45" s="105">
        <v>4180</v>
      </c>
      <c r="BY45" s="76">
        <v>3628</v>
      </c>
      <c r="BZ45" s="35" t="s">
        <v>153</v>
      </c>
      <c r="CA45" s="76" t="s">
        <v>153</v>
      </c>
      <c r="CB45" s="79" t="s">
        <v>153</v>
      </c>
      <c r="CC45" s="76">
        <v>4</v>
      </c>
      <c r="CD45" s="76">
        <v>188</v>
      </c>
      <c r="CE45" s="1725">
        <v>104</v>
      </c>
      <c r="CF45" s="35"/>
      <c r="CG45" s="103">
        <v>259</v>
      </c>
      <c r="CH45" s="105">
        <v>36</v>
      </c>
      <c r="CI45" s="105">
        <v>9</v>
      </c>
      <c r="CJ45" s="105">
        <v>9</v>
      </c>
      <c r="CK45" s="105">
        <v>1</v>
      </c>
      <c r="CL45" s="1723" t="s">
        <v>148</v>
      </c>
      <c r="CM45" s="1723">
        <v>5</v>
      </c>
      <c r="CN45" s="105">
        <v>25</v>
      </c>
      <c r="CO45" s="1723">
        <v>18525</v>
      </c>
      <c r="CP45" s="1723">
        <v>196</v>
      </c>
      <c r="CQ45" s="1723">
        <v>123</v>
      </c>
      <c r="CR45" s="1724">
        <v>48</v>
      </c>
      <c r="CS45" s="35"/>
      <c r="CT45" s="690">
        <v>37</v>
      </c>
      <c r="CU45" s="1556">
        <v>11</v>
      </c>
      <c r="CV45" s="1556" t="s">
        <v>148</v>
      </c>
      <c r="CW45" s="1556">
        <v>8</v>
      </c>
      <c r="CX45" s="1556">
        <v>9</v>
      </c>
      <c r="CY45" s="1733">
        <v>9</v>
      </c>
      <c r="CZ45" s="1733" t="s">
        <v>153</v>
      </c>
      <c r="DA45" s="689">
        <v>667775</v>
      </c>
      <c r="DB45" s="1558">
        <v>7534</v>
      </c>
    </row>
    <row r="46" spans="1:106" ht="15.75" customHeight="1">
      <c r="A46" s="236" t="s">
        <v>274</v>
      </c>
      <c r="B46" s="140">
        <v>4</v>
      </c>
      <c r="C46" s="153">
        <v>74</v>
      </c>
      <c r="D46" s="153">
        <v>25</v>
      </c>
      <c r="E46" s="153">
        <v>5</v>
      </c>
      <c r="F46" s="153" t="s">
        <v>148</v>
      </c>
      <c r="G46" s="153">
        <v>1121</v>
      </c>
      <c r="H46" s="153" t="s">
        <v>148</v>
      </c>
      <c r="I46" s="147">
        <v>103</v>
      </c>
      <c r="J46" s="140">
        <v>24</v>
      </c>
      <c r="K46" s="141">
        <v>10323</v>
      </c>
      <c r="L46" s="1713">
        <v>763</v>
      </c>
      <c r="M46" s="141">
        <v>1</v>
      </c>
      <c r="N46" s="141">
        <v>492</v>
      </c>
      <c r="O46" s="141">
        <v>45</v>
      </c>
      <c r="P46" s="1713">
        <v>12</v>
      </c>
      <c r="Q46" s="141">
        <v>5254</v>
      </c>
      <c r="R46" s="141">
        <v>423</v>
      </c>
      <c r="S46" s="141">
        <v>2</v>
      </c>
      <c r="T46" s="141">
        <v>892</v>
      </c>
      <c r="U46" s="1712">
        <v>54</v>
      </c>
      <c r="V46" s="153" t="s">
        <v>148</v>
      </c>
      <c r="W46" s="141" t="s">
        <v>148</v>
      </c>
      <c r="X46" s="141" t="s">
        <v>148</v>
      </c>
      <c r="Y46" s="1713" t="s">
        <v>148</v>
      </c>
      <c r="Z46" s="1713" t="s">
        <v>148</v>
      </c>
      <c r="AA46" s="1713" t="s">
        <v>148</v>
      </c>
      <c r="AB46" s="141" t="s">
        <v>148</v>
      </c>
      <c r="AC46" s="141" t="s">
        <v>148</v>
      </c>
      <c r="AD46" s="141" t="s">
        <v>148</v>
      </c>
      <c r="AE46" s="1713">
        <v>5</v>
      </c>
      <c r="AF46" s="1713">
        <v>3984</v>
      </c>
      <c r="AG46" s="1712">
        <v>290</v>
      </c>
      <c r="AH46" s="140" t="s">
        <v>148</v>
      </c>
      <c r="AI46" s="141" t="s">
        <v>148</v>
      </c>
      <c r="AJ46" s="141" t="s">
        <v>148</v>
      </c>
      <c r="AK46" s="141" t="s">
        <v>148</v>
      </c>
      <c r="AL46" s="141" t="s">
        <v>148</v>
      </c>
      <c r="AM46" s="1712" t="s">
        <v>148</v>
      </c>
      <c r="AN46" s="153" t="s">
        <v>148</v>
      </c>
      <c r="AO46" s="141" t="s">
        <v>148</v>
      </c>
      <c r="AP46" s="1713">
        <v>1</v>
      </c>
      <c r="AQ46" s="1713">
        <v>3</v>
      </c>
      <c r="AR46" s="141">
        <v>583269</v>
      </c>
      <c r="AS46" s="475">
        <v>257.3</v>
      </c>
      <c r="AT46" s="141">
        <v>1034678</v>
      </c>
      <c r="AU46" s="147">
        <v>13746</v>
      </c>
      <c r="AV46" s="153">
        <v>1</v>
      </c>
      <c r="AW46" s="141" t="s">
        <v>153</v>
      </c>
      <c r="AX46" s="141" t="s">
        <v>153</v>
      </c>
      <c r="AY46" s="1713">
        <v>1</v>
      </c>
      <c r="AZ46" s="141" t="s">
        <v>153</v>
      </c>
      <c r="BA46" s="141" t="s">
        <v>153</v>
      </c>
      <c r="BB46" s="141" t="s">
        <v>153</v>
      </c>
      <c r="BC46" s="141" t="s">
        <v>153</v>
      </c>
      <c r="BD46" s="141" t="s">
        <v>153</v>
      </c>
      <c r="BE46" s="141" t="s">
        <v>153</v>
      </c>
      <c r="BF46" s="1712" t="s">
        <v>148</v>
      </c>
      <c r="BG46" s="35"/>
      <c r="BH46" s="140">
        <v>2</v>
      </c>
      <c r="BI46" s="141">
        <v>8755</v>
      </c>
      <c r="BJ46" s="141" t="s">
        <v>148</v>
      </c>
      <c r="BK46" s="1713" t="s">
        <v>148</v>
      </c>
      <c r="BL46" s="141" t="s">
        <v>148</v>
      </c>
      <c r="BM46" s="141" t="s">
        <v>148</v>
      </c>
      <c r="BN46" s="141" t="s">
        <v>148</v>
      </c>
      <c r="BO46" s="141" t="s">
        <v>148</v>
      </c>
      <c r="BP46" s="141" t="s">
        <v>148</v>
      </c>
      <c r="BQ46" s="141">
        <v>2</v>
      </c>
      <c r="BR46" s="1712">
        <v>6</v>
      </c>
      <c r="BS46" s="35"/>
      <c r="BT46" s="160">
        <v>2</v>
      </c>
      <c r="BU46" s="1740">
        <v>1209</v>
      </c>
      <c r="BV46" s="723"/>
      <c r="BW46" s="146">
        <v>41</v>
      </c>
      <c r="BX46" s="141">
        <v>2550</v>
      </c>
      <c r="BY46" s="141">
        <v>2354</v>
      </c>
      <c r="BZ46" s="141" t="s">
        <v>153</v>
      </c>
      <c r="CA46" s="338" t="s">
        <v>153</v>
      </c>
      <c r="CB46" s="153" t="s">
        <v>153</v>
      </c>
      <c r="CC46" s="153" t="s">
        <v>153</v>
      </c>
      <c r="CD46" s="153" t="s">
        <v>153</v>
      </c>
      <c r="CE46" s="1712" t="s">
        <v>153</v>
      </c>
      <c r="CF46" s="35"/>
      <c r="CG46" s="140">
        <v>193</v>
      </c>
      <c r="CH46" s="141">
        <v>24</v>
      </c>
      <c r="CI46" s="141">
        <v>9</v>
      </c>
      <c r="CJ46" s="141">
        <v>7</v>
      </c>
      <c r="CK46" s="141">
        <v>1</v>
      </c>
      <c r="CL46" s="1713" t="s">
        <v>148</v>
      </c>
      <c r="CM46" s="1713">
        <v>6</v>
      </c>
      <c r="CN46" s="141">
        <v>69</v>
      </c>
      <c r="CO46" s="1713">
        <v>17917</v>
      </c>
      <c r="CP46" s="1713">
        <v>120</v>
      </c>
      <c r="CQ46" s="1713">
        <v>59</v>
      </c>
      <c r="CR46" s="1712">
        <v>56</v>
      </c>
      <c r="CS46" s="35"/>
      <c r="CT46" s="576">
        <v>57</v>
      </c>
      <c r="CU46" s="1538">
        <v>2</v>
      </c>
      <c r="CV46" s="1538" t="s">
        <v>153</v>
      </c>
      <c r="CW46" s="1538">
        <v>35</v>
      </c>
      <c r="CX46" s="1538">
        <v>10</v>
      </c>
      <c r="CY46" s="1714">
        <v>9</v>
      </c>
      <c r="CZ46" s="1714">
        <v>1</v>
      </c>
      <c r="DA46" s="555">
        <v>405395</v>
      </c>
      <c r="DB46" s="1442">
        <v>27323</v>
      </c>
    </row>
    <row r="47" spans="1:106" ht="15.75" customHeight="1">
      <c r="A47" s="320" t="s">
        <v>215</v>
      </c>
      <c r="B47" s="75">
        <v>6</v>
      </c>
      <c r="C47" s="79">
        <v>408</v>
      </c>
      <c r="D47" s="79">
        <v>54</v>
      </c>
      <c r="E47" s="222">
        <v>11</v>
      </c>
      <c r="F47" s="222">
        <v>4</v>
      </c>
      <c r="G47" s="222">
        <v>1369</v>
      </c>
      <c r="H47" s="222">
        <v>1252</v>
      </c>
      <c r="I47" s="223">
        <v>154</v>
      </c>
      <c r="J47" s="75">
        <v>49</v>
      </c>
      <c r="K47" s="76">
        <v>19485</v>
      </c>
      <c r="L47" s="1726">
        <v>1402</v>
      </c>
      <c r="M47" s="206" t="s">
        <v>153</v>
      </c>
      <c r="N47" s="206" t="s">
        <v>153</v>
      </c>
      <c r="O47" s="206" t="s">
        <v>153</v>
      </c>
      <c r="P47" s="1726">
        <v>23</v>
      </c>
      <c r="Q47" s="76">
        <v>9794</v>
      </c>
      <c r="R47" s="76">
        <v>817</v>
      </c>
      <c r="S47" s="206">
        <v>2</v>
      </c>
      <c r="T47" s="206">
        <v>1111</v>
      </c>
      <c r="U47" s="1729">
        <v>59</v>
      </c>
      <c r="V47" s="113">
        <v>2</v>
      </c>
      <c r="W47" s="105">
        <v>1754</v>
      </c>
      <c r="X47" s="105">
        <v>54</v>
      </c>
      <c r="Y47" s="76" t="s">
        <v>153</v>
      </c>
      <c r="Z47" s="76" t="s">
        <v>153</v>
      </c>
      <c r="AA47" s="76" t="s">
        <v>153</v>
      </c>
      <c r="AB47" s="105">
        <v>1</v>
      </c>
      <c r="AC47" s="105">
        <v>619</v>
      </c>
      <c r="AD47" s="105">
        <v>62</v>
      </c>
      <c r="AE47" s="206">
        <v>13</v>
      </c>
      <c r="AF47" s="206">
        <v>10846</v>
      </c>
      <c r="AG47" s="1729">
        <v>875</v>
      </c>
      <c r="AH47" s="75" t="s">
        <v>153</v>
      </c>
      <c r="AI47" s="76" t="s">
        <v>153</v>
      </c>
      <c r="AJ47" s="76" t="s">
        <v>153</v>
      </c>
      <c r="AK47" s="206">
        <v>1</v>
      </c>
      <c r="AL47" s="206">
        <v>73</v>
      </c>
      <c r="AM47" s="1729">
        <v>21</v>
      </c>
      <c r="AN47" s="79" t="s">
        <v>153</v>
      </c>
      <c r="AO47" s="76" t="s">
        <v>153</v>
      </c>
      <c r="AP47" s="1723">
        <v>2</v>
      </c>
      <c r="AQ47" s="1726">
        <v>3</v>
      </c>
      <c r="AR47" s="76">
        <v>864448</v>
      </c>
      <c r="AS47" s="473">
        <v>180</v>
      </c>
      <c r="AT47" s="76">
        <v>1788780</v>
      </c>
      <c r="AU47" s="184">
        <v>69046</v>
      </c>
      <c r="AV47" s="113">
        <v>7</v>
      </c>
      <c r="AW47" s="76" t="s">
        <v>153</v>
      </c>
      <c r="AX47" s="76" t="s">
        <v>153</v>
      </c>
      <c r="AY47" s="1723">
        <v>6</v>
      </c>
      <c r="AZ47" s="105">
        <v>1</v>
      </c>
      <c r="BA47" s="76" t="s">
        <v>153</v>
      </c>
      <c r="BB47" s="76" t="s">
        <v>153</v>
      </c>
      <c r="BC47" s="76" t="s">
        <v>153</v>
      </c>
      <c r="BD47" s="76" t="s">
        <v>153</v>
      </c>
      <c r="BE47" s="76" t="s">
        <v>153</v>
      </c>
      <c r="BF47" s="1724">
        <v>36</v>
      </c>
      <c r="BG47" s="35"/>
      <c r="BH47" s="75">
        <v>2</v>
      </c>
      <c r="BI47" s="76">
        <v>16141</v>
      </c>
      <c r="BJ47" s="76">
        <v>1</v>
      </c>
      <c r="BK47" s="1726">
        <v>13500</v>
      </c>
      <c r="BL47" s="76">
        <v>6</v>
      </c>
      <c r="BM47" s="76">
        <v>6</v>
      </c>
      <c r="BN47" s="76">
        <v>49720</v>
      </c>
      <c r="BO47" s="76">
        <v>1</v>
      </c>
      <c r="BP47" s="76">
        <v>925</v>
      </c>
      <c r="BQ47" s="76">
        <v>4</v>
      </c>
      <c r="BR47" s="1725">
        <v>16</v>
      </c>
      <c r="BS47" s="35"/>
      <c r="BT47" s="75">
        <v>1</v>
      </c>
      <c r="BU47" s="1725">
        <v>1500</v>
      </c>
      <c r="BV47" s="723"/>
      <c r="BW47" s="75" t="s">
        <v>153</v>
      </c>
      <c r="BX47" s="76" t="s">
        <v>153</v>
      </c>
      <c r="BY47" s="76" t="s">
        <v>153</v>
      </c>
      <c r="BZ47" s="1726">
        <v>50</v>
      </c>
      <c r="CA47" s="1726">
        <v>4571</v>
      </c>
      <c r="CB47" s="76">
        <v>4276</v>
      </c>
      <c r="CC47" s="76">
        <v>7</v>
      </c>
      <c r="CD47" s="76">
        <v>342</v>
      </c>
      <c r="CE47" s="1725">
        <v>178</v>
      </c>
      <c r="CF47" s="35"/>
      <c r="CG47" s="75">
        <v>509</v>
      </c>
      <c r="CH47" s="76">
        <v>67</v>
      </c>
      <c r="CI47" s="76">
        <v>18</v>
      </c>
      <c r="CJ47" s="76">
        <v>18</v>
      </c>
      <c r="CK47" s="76">
        <v>3</v>
      </c>
      <c r="CL47" s="1726">
        <v>3</v>
      </c>
      <c r="CM47" s="1726">
        <v>9</v>
      </c>
      <c r="CN47" s="76">
        <v>124</v>
      </c>
      <c r="CO47" s="1726">
        <v>35742</v>
      </c>
      <c r="CP47" s="1726">
        <v>362</v>
      </c>
      <c r="CQ47" s="1723">
        <v>208</v>
      </c>
      <c r="CR47" s="1724">
        <v>102</v>
      </c>
      <c r="CS47" s="35"/>
      <c r="CT47" s="627">
        <v>107</v>
      </c>
      <c r="CU47" s="1379">
        <v>21</v>
      </c>
      <c r="CV47" s="1379">
        <v>2</v>
      </c>
      <c r="CW47" s="1379">
        <v>70</v>
      </c>
      <c r="CX47" s="1379">
        <v>10</v>
      </c>
      <c r="CY47" s="1727">
        <v>4</v>
      </c>
      <c r="CZ47" s="1727" t="s">
        <v>153</v>
      </c>
      <c r="DA47" s="689">
        <v>1144702</v>
      </c>
      <c r="DB47" s="1558">
        <v>11832</v>
      </c>
    </row>
    <row r="48" spans="1:106" ht="15.75" customHeight="1">
      <c r="A48" s="236" t="s">
        <v>216</v>
      </c>
      <c r="B48" s="140">
        <v>33</v>
      </c>
      <c r="C48" s="153">
        <v>1099</v>
      </c>
      <c r="D48" s="153">
        <v>99</v>
      </c>
      <c r="E48" s="153">
        <v>7</v>
      </c>
      <c r="F48" s="245" t="s">
        <v>153</v>
      </c>
      <c r="G48" s="245">
        <v>891</v>
      </c>
      <c r="H48" s="245" t="s">
        <v>153</v>
      </c>
      <c r="I48" s="147">
        <v>95</v>
      </c>
      <c r="J48" s="140">
        <v>66</v>
      </c>
      <c r="K48" s="141">
        <v>26461</v>
      </c>
      <c r="L48" s="1713">
        <v>1613</v>
      </c>
      <c r="M48" s="1713" t="s">
        <v>153</v>
      </c>
      <c r="N48" s="1713" t="s">
        <v>153</v>
      </c>
      <c r="O48" s="141" t="s">
        <v>153</v>
      </c>
      <c r="P48" s="1713">
        <v>33</v>
      </c>
      <c r="Q48" s="141">
        <v>13010</v>
      </c>
      <c r="R48" s="141">
        <v>872</v>
      </c>
      <c r="S48" s="141">
        <v>5</v>
      </c>
      <c r="T48" s="141">
        <v>971</v>
      </c>
      <c r="U48" s="1712">
        <v>65</v>
      </c>
      <c r="V48" s="157">
        <v>3</v>
      </c>
      <c r="W48" s="1713">
        <v>1983</v>
      </c>
      <c r="X48" s="1713">
        <v>160</v>
      </c>
      <c r="Y48" s="1713" t="s">
        <v>153</v>
      </c>
      <c r="Z48" s="1713" t="s">
        <v>153</v>
      </c>
      <c r="AA48" s="141" t="s">
        <v>153</v>
      </c>
      <c r="AB48" s="141">
        <v>3</v>
      </c>
      <c r="AC48" s="141">
        <v>2124</v>
      </c>
      <c r="AD48" s="241">
        <v>125</v>
      </c>
      <c r="AE48" s="241">
        <v>17</v>
      </c>
      <c r="AF48" s="241" t="s">
        <v>185</v>
      </c>
      <c r="AG48" s="1721" t="s">
        <v>185</v>
      </c>
      <c r="AH48" s="238" t="s">
        <v>153</v>
      </c>
      <c r="AI48" s="141" t="s">
        <v>153</v>
      </c>
      <c r="AJ48" s="141" t="s">
        <v>153</v>
      </c>
      <c r="AK48" s="141">
        <v>2</v>
      </c>
      <c r="AL48" s="141">
        <v>808</v>
      </c>
      <c r="AM48" s="1712">
        <v>97</v>
      </c>
      <c r="AN48" s="157" t="s">
        <v>153</v>
      </c>
      <c r="AO48" s="141" t="s">
        <v>153</v>
      </c>
      <c r="AP48" s="1720">
        <v>4</v>
      </c>
      <c r="AQ48" s="1713">
        <v>15</v>
      </c>
      <c r="AR48" s="141">
        <v>1396157</v>
      </c>
      <c r="AS48" s="475">
        <v>266.95</v>
      </c>
      <c r="AT48" s="141">
        <v>2025383</v>
      </c>
      <c r="AU48" s="147">
        <v>7649</v>
      </c>
      <c r="AV48" s="153">
        <v>15</v>
      </c>
      <c r="AW48" s="141" t="s">
        <v>148</v>
      </c>
      <c r="AX48" s="141">
        <v>2</v>
      </c>
      <c r="AY48" s="1713">
        <v>5</v>
      </c>
      <c r="AZ48" s="141">
        <v>4</v>
      </c>
      <c r="BA48" s="141" t="s">
        <v>148</v>
      </c>
      <c r="BB48" s="141">
        <v>2</v>
      </c>
      <c r="BC48" s="141">
        <v>1</v>
      </c>
      <c r="BD48" s="141" t="s">
        <v>148</v>
      </c>
      <c r="BE48" s="141">
        <v>1</v>
      </c>
      <c r="BF48" s="1712">
        <v>68</v>
      </c>
      <c r="BG48" s="35"/>
      <c r="BH48" s="140">
        <v>8</v>
      </c>
      <c r="BI48" s="141">
        <v>32880</v>
      </c>
      <c r="BJ48" s="141">
        <v>1</v>
      </c>
      <c r="BK48" s="1713">
        <v>39600</v>
      </c>
      <c r="BL48" s="141">
        <v>8</v>
      </c>
      <c r="BM48" s="141">
        <v>9</v>
      </c>
      <c r="BN48" s="141">
        <v>139175</v>
      </c>
      <c r="BO48" s="141">
        <v>5</v>
      </c>
      <c r="BP48" s="141">
        <v>2079</v>
      </c>
      <c r="BQ48" s="141">
        <v>9</v>
      </c>
      <c r="BR48" s="1712">
        <v>37</v>
      </c>
      <c r="BS48" s="35"/>
      <c r="BT48" s="247">
        <v>18</v>
      </c>
      <c r="BU48" s="889">
        <v>2010</v>
      </c>
      <c r="BV48" s="723"/>
      <c r="BW48" s="140">
        <v>67</v>
      </c>
      <c r="BX48" s="141">
        <v>6255</v>
      </c>
      <c r="BY48" s="141">
        <v>4302</v>
      </c>
      <c r="BZ48" s="153" t="s">
        <v>148</v>
      </c>
      <c r="CA48" s="141" t="s">
        <v>148</v>
      </c>
      <c r="CB48" s="141" t="s">
        <v>148</v>
      </c>
      <c r="CC48" s="153">
        <v>9</v>
      </c>
      <c r="CD48" s="141">
        <v>319</v>
      </c>
      <c r="CE48" s="1712">
        <v>269</v>
      </c>
      <c r="CF48" s="35"/>
      <c r="CG48" s="146">
        <v>589</v>
      </c>
      <c r="CH48" s="141">
        <v>59</v>
      </c>
      <c r="CI48" s="141">
        <v>23</v>
      </c>
      <c r="CJ48" s="141">
        <v>21</v>
      </c>
      <c r="CK48" s="141">
        <v>5</v>
      </c>
      <c r="CL48" s="141">
        <v>2</v>
      </c>
      <c r="CM48" s="141">
        <v>13</v>
      </c>
      <c r="CN48" s="141">
        <v>167</v>
      </c>
      <c r="CO48" s="1713">
        <v>32385</v>
      </c>
      <c r="CP48" s="1713">
        <v>550</v>
      </c>
      <c r="CQ48" s="1713">
        <v>340</v>
      </c>
      <c r="CR48" s="1712">
        <v>253</v>
      </c>
      <c r="CS48" s="35"/>
      <c r="CT48" s="812">
        <v>101</v>
      </c>
      <c r="CU48" s="1538">
        <v>38</v>
      </c>
      <c r="CV48" s="1538">
        <v>2</v>
      </c>
      <c r="CW48" s="1538">
        <v>11</v>
      </c>
      <c r="CX48" s="1538">
        <v>27</v>
      </c>
      <c r="CY48" s="577">
        <v>23</v>
      </c>
      <c r="CZ48" s="555" t="s">
        <v>153</v>
      </c>
      <c r="DA48" s="577">
        <v>2031650</v>
      </c>
      <c r="DB48" s="1442">
        <v>28802</v>
      </c>
    </row>
    <row r="49" spans="1:106" ht="15.75" customHeight="1">
      <c r="A49" s="320" t="s">
        <v>218</v>
      </c>
      <c r="B49" s="103">
        <v>9</v>
      </c>
      <c r="C49" s="113">
        <v>420</v>
      </c>
      <c r="D49" s="113">
        <v>66</v>
      </c>
      <c r="E49" s="113">
        <v>11</v>
      </c>
      <c r="F49" s="79">
        <v>1</v>
      </c>
      <c r="G49" s="113">
        <v>2047</v>
      </c>
      <c r="H49" s="79">
        <v>24</v>
      </c>
      <c r="I49" s="119">
        <v>409</v>
      </c>
      <c r="J49" s="103">
        <v>41</v>
      </c>
      <c r="K49" s="105">
        <v>20296</v>
      </c>
      <c r="L49" s="1723">
        <v>1347</v>
      </c>
      <c r="M49" s="105">
        <v>1</v>
      </c>
      <c r="N49" s="105">
        <v>117</v>
      </c>
      <c r="O49" s="105">
        <v>18</v>
      </c>
      <c r="P49" s="1726">
        <v>18</v>
      </c>
      <c r="Q49" s="105">
        <v>9624</v>
      </c>
      <c r="R49" s="105">
        <v>652</v>
      </c>
      <c r="S49" s="105">
        <v>2</v>
      </c>
      <c r="T49" s="105">
        <v>156</v>
      </c>
      <c r="U49" s="1724">
        <v>27</v>
      </c>
      <c r="V49" s="113" t="s">
        <v>153</v>
      </c>
      <c r="W49" s="113" t="s">
        <v>153</v>
      </c>
      <c r="X49" s="113" t="s">
        <v>153</v>
      </c>
      <c r="Y49" s="113" t="s">
        <v>153</v>
      </c>
      <c r="Z49" s="113" t="s">
        <v>153</v>
      </c>
      <c r="AA49" s="113" t="s">
        <v>153</v>
      </c>
      <c r="AB49" s="105">
        <v>2</v>
      </c>
      <c r="AC49" s="105">
        <v>1982</v>
      </c>
      <c r="AD49" s="105">
        <v>186</v>
      </c>
      <c r="AE49" s="105">
        <v>9</v>
      </c>
      <c r="AF49" s="105">
        <v>6190</v>
      </c>
      <c r="AG49" s="1724">
        <v>554</v>
      </c>
      <c r="AH49" s="103">
        <v>1</v>
      </c>
      <c r="AI49" s="105">
        <v>225</v>
      </c>
      <c r="AJ49" s="105">
        <v>51</v>
      </c>
      <c r="AK49" s="105">
        <v>1</v>
      </c>
      <c r="AL49" s="105">
        <v>110</v>
      </c>
      <c r="AM49" s="1724">
        <v>40</v>
      </c>
      <c r="AN49" s="113" t="s">
        <v>153</v>
      </c>
      <c r="AO49" s="105" t="s">
        <v>153</v>
      </c>
      <c r="AP49" s="1723">
        <v>1</v>
      </c>
      <c r="AQ49" s="1723">
        <v>2</v>
      </c>
      <c r="AR49" s="105">
        <v>732187</v>
      </c>
      <c r="AS49" s="474">
        <v>161</v>
      </c>
      <c r="AT49" s="105">
        <v>1368517</v>
      </c>
      <c r="AU49" s="119">
        <v>11074</v>
      </c>
      <c r="AV49" s="113">
        <v>5</v>
      </c>
      <c r="AW49" s="105" t="s">
        <v>153</v>
      </c>
      <c r="AX49" s="105" t="s">
        <v>153</v>
      </c>
      <c r="AY49" s="1723">
        <v>5</v>
      </c>
      <c r="AZ49" s="105" t="s">
        <v>153</v>
      </c>
      <c r="BA49" s="105" t="s">
        <v>153</v>
      </c>
      <c r="BB49" s="105" t="s">
        <v>153</v>
      </c>
      <c r="BC49" s="105" t="s">
        <v>153</v>
      </c>
      <c r="BD49" s="105" t="s">
        <v>153</v>
      </c>
      <c r="BE49" s="105" t="s">
        <v>153</v>
      </c>
      <c r="BF49" s="1724" t="s">
        <v>153</v>
      </c>
      <c r="BG49" s="35"/>
      <c r="BH49" s="103">
        <v>6</v>
      </c>
      <c r="BI49" s="105">
        <v>5595</v>
      </c>
      <c r="BJ49" s="105" t="s">
        <v>153</v>
      </c>
      <c r="BK49" s="105" t="s">
        <v>153</v>
      </c>
      <c r="BL49" s="105" t="s">
        <v>153</v>
      </c>
      <c r="BM49" s="105" t="s">
        <v>153</v>
      </c>
      <c r="BN49" s="105" t="s">
        <v>153</v>
      </c>
      <c r="BO49" s="105">
        <v>1</v>
      </c>
      <c r="BP49" s="105">
        <v>375</v>
      </c>
      <c r="BQ49" s="105" t="s">
        <v>153</v>
      </c>
      <c r="BR49" s="1724" t="s">
        <v>153</v>
      </c>
      <c r="BS49" s="35"/>
      <c r="BT49" s="117">
        <v>1</v>
      </c>
      <c r="BU49" s="118">
        <v>250</v>
      </c>
      <c r="BV49" s="723"/>
      <c r="BW49" s="103">
        <v>56</v>
      </c>
      <c r="BX49" s="105">
        <v>2532</v>
      </c>
      <c r="BY49" s="105">
        <v>2676</v>
      </c>
      <c r="BZ49" s="79" t="s">
        <v>153</v>
      </c>
      <c r="CA49" s="76" t="s">
        <v>153</v>
      </c>
      <c r="CB49" s="76" t="s">
        <v>153</v>
      </c>
      <c r="CC49" s="113">
        <v>34</v>
      </c>
      <c r="CD49" s="113">
        <v>858</v>
      </c>
      <c r="CE49" s="119">
        <v>760</v>
      </c>
      <c r="CF49" s="35"/>
      <c r="CG49" s="103">
        <v>448</v>
      </c>
      <c r="CH49" s="105">
        <v>43</v>
      </c>
      <c r="CI49" s="105">
        <v>14</v>
      </c>
      <c r="CJ49" s="105">
        <v>14</v>
      </c>
      <c r="CK49" s="105">
        <v>4</v>
      </c>
      <c r="CL49" s="1723">
        <v>3</v>
      </c>
      <c r="CM49" s="1723">
        <v>3</v>
      </c>
      <c r="CN49" s="105">
        <v>108</v>
      </c>
      <c r="CO49" s="1723">
        <v>32856</v>
      </c>
      <c r="CP49" s="1723">
        <v>700</v>
      </c>
      <c r="CQ49" s="1723">
        <v>105</v>
      </c>
      <c r="CR49" s="1724">
        <v>84</v>
      </c>
      <c r="CS49" s="35"/>
      <c r="CT49" s="627">
        <v>174</v>
      </c>
      <c r="CU49" s="1379">
        <v>19</v>
      </c>
      <c r="CV49" s="1556" t="s">
        <v>148</v>
      </c>
      <c r="CW49" s="1556">
        <v>118</v>
      </c>
      <c r="CX49" s="1556">
        <v>24</v>
      </c>
      <c r="CY49" s="1733">
        <v>13</v>
      </c>
      <c r="CZ49" s="1733" t="s">
        <v>148</v>
      </c>
      <c r="DA49" s="689">
        <v>1677644.49</v>
      </c>
      <c r="DB49" s="1558">
        <v>79302.899999999994</v>
      </c>
    </row>
    <row r="50" spans="1:106" ht="15.75" customHeight="1">
      <c r="A50" s="236" t="s">
        <v>275</v>
      </c>
      <c r="B50" s="238">
        <v>22</v>
      </c>
      <c r="C50" s="241">
        <v>1987</v>
      </c>
      <c r="D50" s="241">
        <v>141</v>
      </c>
      <c r="E50" s="241">
        <v>1</v>
      </c>
      <c r="F50" s="241">
        <v>1</v>
      </c>
      <c r="G50" s="241">
        <v>62</v>
      </c>
      <c r="H50" s="241">
        <v>62</v>
      </c>
      <c r="I50" s="1721">
        <v>8</v>
      </c>
      <c r="J50" s="140">
        <v>28</v>
      </c>
      <c r="K50" s="141">
        <v>16862</v>
      </c>
      <c r="L50" s="1713">
        <v>974</v>
      </c>
      <c r="M50" s="141">
        <v>1</v>
      </c>
      <c r="N50" s="141">
        <v>409</v>
      </c>
      <c r="O50" s="141">
        <v>22</v>
      </c>
      <c r="P50" s="141">
        <v>13</v>
      </c>
      <c r="Q50" s="141">
        <v>7590</v>
      </c>
      <c r="R50" s="141">
        <v>527</v>
      </c>
      <c r="S50" s="141" t="s">
        <v>153</v>
      </c>
      <c r="T50" s="141" t="s">
        <v>153</v>
      </c>
      <c r="U50" s="1712" t="s">
        <v>153</v>
      </c>
      <c r="V50" s="140" t="s">
        <v>153</v>
      </c>
      <c r="W50" s="141" t="s">
        <v>153</v>
      </c>
      <c r="X50" s="141" t="s">
        <v>153</v>
      </c>
      <c r="Y50" s="141" t="s">
        <v>153</v>
      </c>
      <c r="Z50" s="141" t="s">
        <v>153</v>
      </c>
      <c r="AA50" s="141" t="s">
        <v>153</v>
      </c>
      <c r="AB50" s="141">
        <v>1</v>
      </c>
      <c r="AC50" s="141">
        <v>811</v>
      </c>
      <c r="AD50" s="141">
        <v>68</v>
      </c>
      <c r="AE50" s="141">
        <v>6</v>
      </c>
      <c r="AF50" s="141">
        <v>5455</v>
      </c>
      <c r="AG50" s="1712">
        <v>347</v>
      </c>
      <c r="AH50" s="140" t="s">
        <v>153</v>
      </c>
      <c r="AI50" s="141" t="s">
        <v>153</v>
      </c>
      <c r="AJ50" s="141" t="s">
        <v>153</v>
      </c>
      <c r="AK50" s="141">
        <v>1</v>
      </c>
      <c r="AL50" s="141">
        <v>156</v>
      </c>
      <c r="AM50" s="1712">
        <v>21</v>
      </c>
      <c r="AN50" s="153" t="s">
        <v>153</v>
      </c>
      <c r="AO50" s="141" t="s">
        <v>153</v>
      </c>
      <c r="AP50" s="141">
        <v>2</v>
      </c>
      <c r="AQ50" s="1713">
        <v>2</v>
      </c>
      <c r="AR50" s="141">
        <v>634747</v>
      </c>
      <c r="AS50" s="475">
        <v>208</v>
      </c>
      <c r="AT50" s="141">
        <v>2181083</v>
      </c>
      <c r="AU50" s="147">
        <v>8868</v>
      </c>
      <c r="AV50" s="640">
        <v>2</v>
      </c>
      <c r="AW50" s="141" t="s">
        <v>153</v>
      </c>
      <c r="AX50" s="555">
        <v>1</v>
      </c>
      <c r="AY50" s="1713">
        <v>1</v>
      </c>
      <c r="AZ50" s="141" t="s">
        <v>153</v>
      </c>
      <c r="BA50" s="141" t="s">
        <v>153</v>
      </c>
      <c r="BB50" s="141" t="s">
        <v>153</v>
      </c>
      <c r="BC50" s="141" t="s">
        <v>153</v>
      </c>
      <c r="BD50" s="141" t="s">
        <v>153</v>
      </c>
      <c r="BE50" s="141" t="s">
        <v>153</v>
      </c>
      <c r="BF50" s="1712" t="s">
        <v>153</v>
      </c>
      <c r="BG50" s="35"/>
      <c r="BH50" s="140">
        <v>2</v>
      </c>
      <c r="BI50" s="141">
        <v>9204</v>
      </c>
      <c r="BJ50" s="141" t="s">
        <v>153</v>
      </c>
      <c r="BK50" s="1713" t="s">
        <v>153</v>
      </c>
      <c r="BL50" s="141" t="s">
        <v>153</v>
      </c>
      <c r="BM50" s="141" t="s">
        <v>153</v>
      </c>
      <c r="BN50" s="141" t="s">
        <v>153</v>
      </c>
      <c r="BO50" s="141">
        <v>1</v>
      </c>
      <c r="BP50" s="555">
        <v>2102</v>
      </c>
      <c r="BQ50" s="141">
        <v>2</v>
      </c>
      <c r="BR50" s="1712">
        <v>11</v>
      </c>
      <c r="BS50" s="35"/>
      <c r="BT50" s="160">
        <v>4</v>
      </c>
      <c r="BU50" s="164">
        <v>1268</v>
      </c>
      <c r="BV50" s="723"/>
      <c r="BW50" s="140" t="s">
        <v>153</v>
      </c>
      <c r="BX50" s="141" t="s">
        <v>153</v>
      </c>
      <c r="BY50" s="141" t="s">
        <v>153</v>
      </c>
      <c r="BZ50" s="153">
        <v>28</v>
      </c>
      <c r="CA50" s="141">
        <v>4779</v>
      </c>
      <c r="CB50" s="141">
        <v>4006</v>
      </c>
      <c r="CC50" s="153" t="s">
        <v>153</v>
      </c>
      <c r="CD50" s="141" t="s">
        <v>153</v>
      </c>
      <c r="CE50" s="1712" t="s">
        <v>153</v>
      </c>
      <c r="CF50" s="35"/>
      <c r="CG50" s="140">
        <v>247</v>
      </c>
      <c r="CH50" s="141">
        <v>40</v>
      </c>
      <c r="CI50" s="141">
        <v>9</v>
      </c>
      <c r="CJ50" s="141">
        <v>9</v>
      </c>
      <c r="CK50" s="141">
        <v>1</v>
      </c>
      <c r="CL50" s="1713">
        <v>6</v>
      </c>
      <c r="CM50" s="1713" t="s">
        <v>153</v>
      </c>
      <c r="CN50" s="141">
        <v>65</v>
      </c>
      <c r="CO50" s="1713">
        <v>16673</v>
      </c>
      <c r="CP50" s="1713">
        <v>460</v>
      </c>
      <c r="CQ50" s="1713">
        <v>60</v>
      </c>
      <c r="CR50" s="1712">
        <v>59</v>
      </c>
      <c r="CS50" s="35"/>
      <c r="CT50" s="576">
        <v>34</v>
      </c>
      <c r="CU50" s="1538">
        <v>2</v>
      </c>
      <c r="CV50" s="1538">
        <v>3</v>
      </c>
      <c r="CW50" s="1538">
        <v>7</v>
      </c>
      <c r="CX50" s="1538">
        <v>9</v>
      </c>
      <c r="CY50" s="1714">
        <v>13</v>
      </c>
      <c r="CZ50" s="1714" t="s">
        <v>153</v>
      </c>
      <c r="DA50" s="577">
        <v>810239</v>
      </c>
      <c r="DB50" s="1442">
        <v>7112</v>
      </c>
    </row>
    <row r="51" spans="1:106" ht="15.75" customHeight="1">
      <c r="A51" s="320" t="s">
        <v>220</v>
      </c>
      <c r="B51" s="75">
        <v>21</v>
      </c>
      <c r="C51" s="79">
        <v>435</v>
      </c>
      <c r="D51" s="79">
        <v>76</v>
      </c>
      <c r="E51" s="633">
        <v>31</v>
      </c>
      <c r="F51" s="113">
        <v>12</v>
      </c>
      <c r="G51" s="633">
        <v>4869</v>
      </c>
      <c r="H51" s="113">
        <v>1010</v>
      </c>
      <c r="I51" s="1395">
        <v>466</v>
      </c>
      <c r="J51" s="75">
        <v>40</v>
      </c>
      <c r="K51" s="76">
        <v>25838</v>
      </c>
      <c r="L51" s="1726">
        <v>1572</v>
      </c>
      <c r="M51" s="76">
        <v>2</v>
      </c>
      <c r="N51" s="76">
        <v>426</v>
      </c>
      <c r="O51" s="76">
        <v>38</v>
      </c>
      <c r="P51" s="1726">
        <v>19</v>
      </c>
      <c r="Q51" s="76">
        <v>10827</v>
      </c>
      <c r="R51" s="76">
        <v>770</v>
      </c>
      <c r="S51" s="76">
        <v>7</v>
      </c>
      <c r="T51" s="76">
        <v>2738</v>
      </c>
      <c r="U51" s="1725">
        <v>183</v>
      </c>
      <c r="V51" s="79">
        <v>1</v>
      </c>
      <c r="W51" s="76">
        <v>439</v>
      </c>
      <c r="X51" s="76">
        <v>44</v>
      </c>
      <c r="Y51" s="76" t="s">
        <v>153</v>
      </c>
      <c r="Z51" s="76" t="s">
        <v>153</v>
      </c>
      <c r="AA51" s="76" t="s">
        <v>153</v>
      </c>
      <c r="AB51" s="76">
        <v>2</v>
      </c>
      <c r="AC51" s="76">
        <v>1831</v>
      </c>
      <c r="AD51" s="76">
        <v>166</v>
      </c>
      <c r="AE51" s="76">
        <v>13</v>
      </c>
      <c r="AF51" s="76">
        <v>9276</v>
      </c>
      <c r="AG51" s="1725">
        <v>662</v>
      </c>
      <c r="AH51" s="75" t="s">
        <v>153</v>
      </c>
      <c r="AI51" s="76" t="s">
        <v>153</v>
      </c>
      <c r="AJ51" s="76" t="s">
        <v>153</v>
      </c>
      <c r="AK51" s="76">
        <v>1</v>
      </c>
      <c r="AL51" s="76">
        <v>701</v>
      </c>
      <c r="AM51" s="1725">
        <v>87</v>
      </c>
      <c r="AN51" s="79" t="s">
        <v>153</v>
      </c>
      <c r="AO51" s="76" t="s">
        <v>153</v>
      </c>
      <c r="AP51" s="1726">
        <v>4</v>
      </c>
      <c r="AQ51" s="1726">
        <v>11</v>
      </c>
      <c r="AR51" s="76">
        <v>1008696</v>
      </c>
      <c r="AS51" s="1397">
        <v>209.2</v>
      </c>
      <c r="AT51" s="76">
        <v>3208648</v>
      </c>
      <c r="AU51" s="184" t="s">
        <v>148</v>
      </c>
      <c r="AV51" s="79">
        <v>14</v>
      </c>
      <c r="AW51" s="76">
        <v>5</v>
      </c>
      <c r="AX51" s="76">
        <v>1</v>
      </c>
      <c r="AY51" s="1726">
        <v>5</v>
      </c>
      <c r="AZ51" s="76">
        <v>3</v>
      </c>
      <c r="BA51" s="628" t="s">
        <v>153</v>
      </c>
      <c r="BB51" s="628" t="s">
        <v>153</v>
      </c>
      <c r="BC51" s="628" t="s">
        <v>153</v>
      </c>
      <c r="BD51" s="628" t="s">
        <v>153</v>
      </c>
      <c r="BE51" s="628" t="s">
        <v>153</v>
      </c>
      <c r="BF51" s="1725">
        <v>24</v>
      </c>
      <c r="BG51" s="35"/>
      <c r="BH51" s="75">
        <v>10</v>
      </c>
      <c r="BI51" s="76">
        <v>21625</v>
      </c>
      <c r="BJ51" s="76">
        <v>1</v>
      </c>
      <c r="BK51" s="1726">
        <v>20355</v>
      </c>
      <c r="BL51" s="76">
        <v>7</v>
      </c>
      <c r="BM51" s="76">
        <v>9</v>
      </c>
      <c r="BN51" s="76">
        <v>103268</v>
      </c>
      <c r="BO51" s="76">
        <v>1</v>
      </c>
      <c r="BP51" s="76">
        <v>1242</v>
      </c>
      <c r="BQ51" s="76">
        <v>6</v>
      </c>
      <c r="BR51" s="1725">
        <v>34</v>
      </c>
      <c r="BS51" s="35"/>
      <c r="BT51" s="117">
        <v>6</v>
      </c>
      <c r="BU51" s="118">
        <v>3181</v>
      </c>
      <c r="BV51" s="723"/>
      <c r="BW51" s="103" t="s">
        <v>148</v>
      </c>
      <c r="BX51" s="105" t="s">
        <v>148</v>
      </c>
      <c r="BY51" s="105" t="s">
        <v>148</v>
      </c>
      <c r="BZ51" s="79">
        <v>103</v>
      </c>
      <c r="CA51" s="76">
        <v>4403</v>
      </c>
      <c r="CB51" s="76">
        <v>4392</v>
      </c>
      <c r="CC51" s="113">
        <v>9</v>
      </c>
      <c r="CD51" s="105">
        <v>317</v>
      </c>
      <c r="CE51" s="1724">
        <v>230</v>
      </c>
      <c r="CF51" s="35"/>
      <c r="CG51" s="75">
        <v>504</v>
      </c>
      <c r="CH51" s="76">
        <v>74</v>
      </c>
      <c r="CI51" s="76">
        <v>14</v>
      </c>
      <c r="CJ51" s="76">
        <v>14</v>
      </c>
      <c r="CK51" s="76">
        <v>4</v>
      </c>
      <c r="CL51" s="1726">
        <v>4</v>
      </c>
      <c r="CM51" s="1726" t="s">
        <v>153</v>
      </c>
      <c r="CN51" s="76">
        <v>77</v>
      </c>
      <c r="CO51" s="1726">
        <v>26468</v>
      </c>
      <c r="CP51" s="1726">
        <v>551</v>
      </c>
      <c r="CQ51" s="1726">
        <v>108</v>
      </c>
      <c r="CR51" s="1725">
        <v>142</v>
      </c>
      <c r="CS51" s="35"/>
      <c r="CT51" s="627">
        <v>265</v>
      </c>
      <c r="CU51" s="1379">
        <v>32</v>
      </c>
      <c r="CV51" s="1379">
        <v>2</v>
      </c>
      <c r="CW51" s="1379">
        <v>146</v>
      </c>
      <c r="CX51" s="1379">
        <v>33</v>
      </c>
      <c r="CY51" s="1727">
        <v>52</v>
      </c>
      <c r="CZ51" s="1727" t="s">
        <v>153</v>
      </c>
      <c r="DA51" s="689">
        <v>1564825.34</v>
      </c>
      <c r="DB51" s="1558">
        <v>41189.81</v>
      </c>
    </row>
    <row r="52" spans="1:106" ht="15.75" customHeight="1">
      <c r="A52" s="236" t="s">
        <v>221</v>
      </c>
      <c r="B52" s="238">
        <v>9</v>
      </c>
      <c r="C52" s="245">
        <v>168</v>
      </c>
      <c r="D52" s="245">
        <v>25</v>
      </c>
      <c r="E52" s="245">
        <v>17</v>
      </c>
      <c r="F52" s="245">
        <v>4</v>
      </c>
      <c r="G52" s="245">
        <v>1988</v>
      </c>
      <c r="H52" s="245">
        <v>1835</v>
      </c>
      <c r="I52" s="246">
        <v>200</v>
      </c>
      <c r="J52" s="238">
        <v>42</v>
      </c>
      <c r="K52" s="241">
        <v>15021</v>
      </c>
      <c r="L52" s="1720">
        <v>1243</v>
      </c>
      <c r="M52" s="241">
        <v>6</v>
      </c>
      <c r="N52" s="241">
        <v>2437</v>
      </c>
      <c r="O52" s="241">
        <v>187</v>
      </c>
      <c r="P52" s="1720">
        <v>22</v>
      </c>
      <c r="Q52" s="241">
        <v>6975</v>
      </c>
      <c r="R52" s="241">
        <v>594</v>
      </c>
      <c r="S52" s="241">
        <v>9</v>
      </c>
      <c r="T52" s="241">
        <v>3281</v>
      </c>
      <c r="U52" s="1721">
        <v>256</v>
      </c>
      <c r="V52" s="245" t="s">
        <v>153</v>
      </c>
      <c r="W52" s="241" t="s">
        <v>153</v>
      </c>
      <c r="X52" s="241" t="s">
        <v>153</v>
      </c>
      <c r="Y52" s="241" t="s">
        <v>153</v>
      </c>
      <c r="Z52" s="241" t="s">
        <v>153</v>
      </c>
      <c r="AA52" s="241" t="s">
        <v>153</v>
      </c>
      <c r="AB52" s="241">
        <v>1</v>
      </c>
      <c r="AC52" s="241">
        <v>915</v>
      </c>
      <c r="AD52" s="241">
        <v>103</v>
      </c>
      <c r="AE52" s="555">
        <v>13</v>
      </c>
      <c r="AF52" s="555">
        <v>8612</v>
      </c>
      <c r="AG52" s="1721">
        <v>674</v>
      </c>
      <c r="AH52" s="238" t="s">
        <v>153</v>
      </c>
      <c r="AI52" s="241" t="s">
        <v>153</v>
      </c>
      <c r="AJ52" s="241" t="s">
        <v>153</v>
      </c>
      <c r="AK52" s="555">
        <v>3</v>
      </c>
      <c r="AL52" s="555">
        <v>320</v>
      </c>
      <c r="AM52" s="1721">
        <v>30</v>
      </c>
      <c r="AN52" s="245" t="s">
        <v>153</v>
      </c>
      <c r="AO52" s="241" t="s">
        <v>153</v>
      </c>
      <c r="AP52" s="1539">
        <v>3</v>
      </c>
      <c r="AQ52" s="1720">
        <v>3</v>
      </c>
      <c r="AR52" s="241">
        <v>600770</v>
      </c>
      <c r="AS52" s="476">
        <v>171.49270000000001</v>
      </c>
      <c r="AT52" s="241">
        <v>1336534</v>
      </c>
      <c r="AU52" s="246">
        <v>8128</v>
      </c>
      <c r="AV52" s="245">
        <v>5</v>
      </c>
      <c r="AW52" s="241" t="s">
        <v>148</v>
      </c>
      <c r="AX52" s="241" t="s">
        <v>148</v>
      </c>
      <c r="AY52" s="1720">
        <v>2</v>
      </c>
      <c r="AZ52" s="241">
        <v>3</v>
      </c>
      <c r="BA52" s="241" t="s">
        <v>153</v>
      </c>
      <c r="BB52" s="241" t="s">
        <v>153</v>
      </c>
      <c r="BC52" s="241" t="s">
        <v>153</v>
      </c>
      <c r="BD52" s="241" t="s">
        <v>153</v>
      </c>
      <c r="BE52" s="241" t="s">
        <v>153</v>
      </c>
      <c r="BF52" s="1721">
        <v>47</v>
      </c>
      <c r="BG52" s="35"/>
      <c r="BH52" s="238">
        <v>11</v>
      </c>
      <c r="BI52" s="241">
        <v>19874.539999999997</v>
      </c>
      <c r="BJ52" s="241">
        <v>1</v>
      </c>
      <c r="BK52" s="1720">
        <v>77091</v>
      </c>
      <c r="BL52" s="241">
        <v>2</v>
      </c>
      <c r="BM52" s="241">
        <v>2</v>
      </c>
      <c r="BN52" s="241">
        <v>61800</v>
      </c>
      <c r="BO52" s="241">
        <v>3</v>
      </c>
      <c r="BP52" s="241">
        <v>1381</v>
      </c>
      <c r="BQ52" s="241">
        <v>10</v>
      </c>
      <c r="BR52" s="1721">
        <v>43</v>
      </c>
      <c r="BS52" s="35"/>
      <c r="BT52" s="247">
        <v>1</v>
      </c>
      <c r="BU52" s="248">
        <v>1496</v>
      </c>
      <c r="BV52" s="723"/>
      <c r="BW52" s="238">
        <v>38</v>
      </c>
      <c r="BX52" s="241">
        <v>4068</v>
      </c>
      <c r="BY52" s="241">
        <v>3927</v>
      </c>
      <c r="BZ52" s="245">
        <v>4</v>
      </c>
      <c r="CA52" s="241">
        <v>177</v>
      </c>
      <c r="CB52" s="241">
        <v>53</v>
      </c>
      <c r="CC52" s="245">
        <v>5</v>
      </c>
      <c r="CD52" s="241">
        <v>192</v>
      </c>
      <c r="CE52" s="1721">
        <v>161</v>
      </c>
      <c r="CF52" s="35"/>
      <c r="CG52" s="238">
        <v>387</v>
      </c>
      <c r="CH52" s="241">
        <v>80</v>
      </c>
      <c r="CI52" s="241">
        <v>16</v>
      </c>
      <c r="CJ52" s="241">
        <v>16</v>
      </c>
      <c r="CK52" s="241">
        <v>5</v>
      </c>
      <c r="CL52" s="1720">
        <v>6</v>
      </c>
      <c r="CM52" s="1720" t="s">
        <v>148</v>
      </c>
      <c r="CN52" s="241">
        <v>77</v>
      </c>
      <c r="CO52" s="1720">
        <v>22992</v>
      </c>
      <c r="CP52" s="1720">
        <v>272</v>
      </c>
      <c r="CQ52" s="1720">
        <v>164</v>
      </c>
      <c r="CR52" s="1721">
        <v>148</v>
      </c>
      <c r="CS52" s="35"/>
      <c r="CT52" s="554">
        <v>201</v>
      </c>
      <c r="CU52" s="1539">
        <v>47</v>
      </c>
      <c r="CV52" s="1539">
        <v>9</v>
      </c>
      <c r="CW52" s="1539">
        <v>20</v>
      </c>
      <c r="CX52" s="1539">
        <v>85</v>
      </c>
      <c r="CY52" s="1722">
        <v>38</v>
      </c>
      <c r="CZ52" s="1722">
        <v>2</v>
      </c>
      <c r="DA52" s="555">
        <v>1034369.32</v>
      </c>
      <c r="DB52" s="1431">
        <v>23283.25</v>
      </c>
    </row>
    <row r="53" spans="1:106" ht="15.75" customHeight="1">
      <c r="A53" s="320" t="s">
        <v>223</v>
      </c>
      <c r="B53" s="75">
        <v>11</v>
      </c>
      <c r="C53" s="79">
        <v>387</v>
      </c>
      <c r="D53" s="79">
        <v>75</v>
      </c>
      <c r="E53" s="79">
        <v>11</v>
      </c>
      <c r="F53" s="79">
        <v>3</v>
      </c>
      <c r="G53" s="79">
        <f>2224-C53</f>
        <v>1837</v>
      </c>
      <c r="H53" s="79">
        <v>538</v>
      </c>
      <c r="I53" s="184">
        <v>151</v>
      </c>
      <c r="J53" s="75">
        <v>51</v>
      </c>
      <c r="K53" s="76">
        <v>16239</v>
      </c>
      <c r="L53" s="1726">
        <v>1189</v>
      </c>
      <c r="M53" s="76">
        <v>2</v>
      </c>
      <c r="N53" s="76">
        <v>877</v>
      </c>
      <c r="O53" s="76">
        <v>182</v>
      </c>
      <c r="P53" s="1726">
        <v>18</v>
      </c>
      <c r="Q53" s="76">
        <v>7083</v>
      </c>
      <c r="R53" s="76">
        <v>542</v>
      </c>
      <c r="S53" s="76">
        <v>7</v>
      </c>
      <c r="T53" s="76">
        <v>2836</v>
      </c>
      <c r="U53" s="1725">
        <v>205</v>
      </c>
      <c r="V53" s="79">
        <v>1</v>
      </c>
      <c r="W53" s="76">
        <v>760</v>
      </c>
      <c r="X53" s="76">
        <v>50</v>
      </c>
      <c r="Y53" s="76" t="s">
        <v>153</v>
      </c>
      <c r="Z53" s="76" t="s">
        <v>153</v>
      </c>
      <c r="AA53" s="76" t="s">
        <v>153</v>
      </c>
      <c r="AB53" s="76">
        <v>1</v>
      </c>
      <c r="AC53" s="76">
        <v>752</v>
      </c>
      <c r="AD53" s="76">
        <v>73</v>
      </c>
      <c r="AE53" s="76">
        <v>12</v>
      </c>
      <c r="AF53" s="76">
        <f>10458-AC53</f>
        <v>9706</v>
      </c>
      <c r="AG53" s="1725">
        <v>853</v>
      </c>
      <c r="AH53" s="75">
        <v>1</v>
      </c>
      <c r="AI53" s="76">
        <v>20</v>
      </c>
      <c r="AJ53" s="76">
        <v>20</v>
      </c>
      <c r="AK53" s="76">
        <v>2</v>
      </c>
      <c r="AL53" s="76">
        <f>277-AI53</f>
        <v>257</v>
      </c>
      <c r="AM53" s="1725">
        <v>67</v>
      </c>
      <c r="AN53" s="79" t="s">
        <v>153</v>
      </c>
      <c r="AO53" s="76" t="s">
        <v>153</v>
      </c>
      <c r="AP53" s="1726">
        <v>6</v>
      </c>
      <c r="AQ53" s="1726">
        <v>2</v>
      </c>
      <c r="AR53" s="76">
        <v>580572</v>
      </c>
      <c r="AS53" s="473">
        <v>166.3</v>
      </c>
      <c r="AT53" s="76">
        <v>1086073</v>
      </c>
      <c r="AU53" s="941" t="s">
        <v>153</v>
      </c>
      <c r="AV53" s="79">
        <v>8</v>
      </c>
      <c r="AW53" s="76" t="s">
        <v>153</v>
      </c>
      <c r="AX53" s="76">
        <v>1</v>
      </c>
      <c r="AY53" s="1726">
        <v>5</v>
      </c>
      <c r="AZ53" s="76">
        <v>1</v>
      </c>
      <c r="BA53" s="76" t="s">
        <v>153</v>
      </c>
      <c r="BB53" s="76">
        <v>1</v>
      </c>
      <c r="BC53" s="76" t="s">
        <v>153</v>
      </c>
      <c r="BD53" s="76" t="s">
        <v>153</v>
      </c>
      <c r="BE53" s="76" t="s">
        <v>153</v>
      </c>
      <c r="BF53" s="1725">
        <v>1</v>
      </c>
      <c r="BG53" s="35"/>
      <c r="BH53" s="75">
        <v>5</v>
      </c>
      <c r="BI53" s="76">
        <v>12055</v>
      </c>
      <c r="BJ53" s="76">
        <v>1</v>
      </c>
      <c r="BK53" s="1726">
        <v>14300</v>
      </c>
      <c r="BL53" s="76">
        <v>7</v>
      </c>
      <c r="BM53" s="76">
        <v>12</v>
      </c>
      <c r="BN53" s="76">
        <v>85150</v>
      </c>
      <c r="BO53" s="76">
        <v>1</v>
      </c>
      <c r="BP53" s="76">
        <v>415</v>
      </c>
      <c r="BQ53" s="76">
        <v>5</v>
      </c>
      <c r="BR53" s="1725">
        <v>33</v>
      </c>
      <c r="BS53" s="35"/>
      <c r="BT53" s="80">
        <v>2</v>
      </c>
      <c r="BU53" s="380">
        <v>954</v>
      </c>
      <c r="BV53" s="723"/>
      <c r="BW53" s="75" t="s">
        <v>153</v>
      </c>
      <c r="BX53" s="76" t="s">
        <v>153</v>
      </c>
      <c r="BY53" s="76" t="s">
        <v>153</v>
      </c>
      <c r="BZ53" s="79">
        <v>97</v>
      </c>
      <c r="CA53" s="76">
        <v>3935</v>
      </c>
      <c r="CB53" s="76">
        <v>3396</v>
      </c>
      <c r="CC53" s="79">
        <v>9</v>
      </c>
      <c r="CD53" s="76">
        <v>332</v>
      </c>
      <c r="CE53" s="1725">
        <v>194</v>
      </c>
      <c r="CF53" s="35"/>
      <c r="CG53" s="75">
        <v>398</v>
      </c>
      <c r="CH53" s="76">
        <v>63</v>
      </c>
      <c r="CI53" s="76">
        <v>16</v>
      </c>
      <c r="CJ53" s="76">
        <v>16</v>
      </c>
      <c r="CK53" s="76">
        <v>3</v>
      </c>
      <c r="CL53" s="1726">
        <v>3</v>
      </c>
      <c r="CM53" s="1726">
        <v>5</v>
      </c>
      <c r="CN53" s="76">
        <v>92</v>
      </c>
      <c r="CO53" s="1726">
        <v>21403</v>
      </c>
      <c r="CP53" s="1726">
        <v>314</v>
      </c>
      <c r="CQ53" s="1726">
        <v>267</v>
      </c>
      <c r="CR53" s="1725">
        <v>164</v>
      </c>
      <c r="CS53" s="35"/>
      <c r="CT53" s="627">
        <v>95</v>
      </c>
      <c r="CU53" s="1379">
        <v>6</v>
      </c>
      <c r="CV53" s="1379">
        <v>1</v>
      </c>
      <c r="CW53" s="1379">
        <v>59</v>
      </c>
      <c r="CX53" s="1379">
        <v>23</v>
      </c>
      <c r="CY53" s="1727">
        <v>6</v>
      </c>
      <c r="CZ53" s="1727" t="s">
        <v>153</v>
      </c>
      <c r="DA53" s="628">
        <v>1214759.72</v>
      </c>
      <c r="DB53" s="1380">
        <v>10538.720000000001</v>
      </c>
    </row>
    <row r="54" spans="1:106" ht="15.75" customHeight="1">
      <c r="A54" s="236" t="s">
        <v>276</v>
      </c>
      <c r="B54" s="140">
        <v>3</v>
      </c>
      <c r="C54" s="153">
        <v>136</v>
      </c>
      <c r="D54" s="153">
        <v>15</v>
      </c>
      <c r="E54" s="153">
        <v>7</v>
      </c>
      <c r="F54" s="153" t="s">
        <v>185</v>
      </c>
      <c r="G54" s="153">
        <v>459</v>
      </c>
      <c r="H54" s="153" t="s">
        <v>185</v>
      </c>
      <c r="I54" s="147">
        <v>58</v>
      </c>
      <c r="J54" s="238">
        <v>39</v>
      </c>
      <c r="K54" s="241">
        <v>8952</v>
      </c>
      <c r="L54" s="1720">
        <v>945</v>
      </c>
      <c r="M54" s="241">
        <v>1</v>
      </c>
      <c r="N54" s="241">
        <v>378</v>
      </c>
      <c r="O54" s="241">
        <v>18</v>
      </c>
      <c r="P54" s="1720">
        <v>14</v>
      </c>
      <c r="Q54" s="241">
        <v>4276</v>
      </c>
      <c r="R54" s="241">
        <v>464</v>
      </c>
      <c r="S54" s="241">
        <v>2</v>
      </c>
      <c r="T54" s="241">
        <v>550</v>
      </c>
      <c r="U54" s="1721">
        <v>42</v>
      </c>
      <c r="V54" s="245">
        <v>4</v>
      </c>
      <c r="W54" s="241">
        <v>769</v>
      </c>
      <c r="X54" s="241">
        <v>124</v>
      </c>
      <c r="Y54" s="241" t="s">
        <v>153</v>
      </c>
      <c r="Z54" s="241" t="s">
        <v>148</v>
      </c>
      <c r="AA54" s="241" t="s">
        <v>148</v>
      </c>
      <c r="AB54" s="241" t="s">
        <v>148</v>
      </c>
      <c r="AC54" s="241" t="s">
        <v>148</v>
      </c>
      <c r="AD54" s="241" t="s">
        <v>148</v>
      </c>
      <c r="AE54" s="241">
        <v>9</v>
      </c>
      <c r="AF54" s="241">
        <v>5006</v>
      </c>
      <c r="AG54" s="1721">
        <v>526</v>
      </c>
      <c r="AH54" s="238" t="s">
        <v>148</v>
      </c>
      <c r="AI54" s="241" t="s">
        <v>148</v>
      </c>
      <c r="AJ54" s="241" t="s">
        <v>148</v>
      </c>
      <c r="AK54" s="241">
        <v>1</v>
      </c>
      <c r="AL54" s="241">
        <v>144</v>
      </c>
      <c r="AM54" s="1721">
        <v>46</v>
      </c>
      <c r="AN54" s="245" t="s">
        <v>148</v>
      </c>
      <c r="AO54" s="241" t="s">
        <v>148</v>
      </c>
      <c r="AP54" s="1720">
        <v>5</v>
      </c>
      <c r="AQ54" s="1720">
        <v>3</v>
      </c>
      <c r="AR54" s="241">
        <v>704192</v>
      </c>
      <c r="AS54" s="476">
        <v>368.6</v>
      </c>
      <c r="AT54" s="241">
        <v>822842</v>
      </c>
      <c r="AU54" s="246">
        <v>10180</v>
      </c>
      <c r="AV54" s="245">
        <v>12</v>
      </c>
      <c r="AW54" s="241">
        <v>1</v>
      </c>
      <c r="AX54" s="241">
        <v>2</v>
      </c>
      <c r="AY54" s="1720">
        <v>8</v>
      </c>
      <c r="AZ54" s="241">
        <v>1</v>
      </c>
      <c r="BA54" s="241" t="s">
        <v>148</v>
      </c>
      <c r="BB54" s="241" t="s">
        <v>148</v>
      </c>
      <c r="BC54" s="241" t="s">
        <v>148</v>
      </c>
      <c r="BD54" s="241" t="s">
        <v>148</v>
      </c>
      <c r="BE54" s="241" t="s">
        <v>148</v>
      </c>
      <c r="BF54" s="1721">
        <v>63</v>
      </c>
      <c r="BG54" s="35"/>
      <c r="BH54" s="238">
        <f>(41+1)</f>
        <v>42</v>
      </c>
      <c r="BI54" s="241">
        <f>(41699+442)</f>
        <v>42141</v>
      </c>
      <c r="BJ54" s="241" t="s">
        <v>153</v>
      </c>
      <c r="BK54" s="1720" t="s">
        <v>153</v>
      </c>
      <c r="BL54" s="241">
        <v>15</v>
      </c>
      <c r="BM54" s="241">
        <v>22</v>
      </c>
      <c r="BN54" s="241">
        <v>224297</v>
      </c>
      <c r="BO54" s="241">
        <f>(6+1)</f>
        <v>7</v>
      </c>
      <c r="BP54" s="241">
        <f>(2750+325)</f>
        <v>3075</v>
      </c>
      <c r="BQ54" s="241">
        <v>13</v>
      </c>
      <c r="BR54" s="1721">
        <v>48</v>
      </c>
      <c r="BS54" s="35"/>
      <c r="BT54" s="247">
        <v>2</v>
      </c>
      <c r="BU54" s="248">
        <v>1443</v>
      </c>
      <c r="BV54" s="723"/>
      <c r="BW54" s="238" t="s">
        <v>153</v>
      </c>
      <c r="BX54" s="241" t="s">
        <v>153</v>
      </c>
      <c r="BY54" s="241" t="s">
        <v>153</v>
      </c>
      <c r="BZ54" s="245">
        <v>76</v>
      </c>
      <c r="CA54" s="241">
        <v>3347</v>
      </c>
      <c r="CB54" s="241">
        <v>3156</v>
      </c>
      <c r="CC54" s="245">
        <v>3</v>
      </c>
      <c r="CD54" s="241">
        <v>105</v>
      </c>
      <c r="CE54" s="1721">
        <v>80</v>
      </c>
      <c r="CF54" s="35"/>
      <c r="CG54" s="238">
        <v>255</v>
      </c>
      <c r="CH54" s="241">
        <v>42</v>
      </c>
      <c r="CI54" s="241">
        <v>10</v>
      </c>
      <c r="CJ54" s="241">
        <v>10</v>
      </c>
      <c r="CK54" s="241">
        <v>4</v>
      </c>
      <c r="CL54" s="1720" t="s">
        <v>153</v>
      </c>
      <c r="CM54" s="1720">
        <v>5</v>
      </c>
      <c r="CN54" s="241">
        <v>46</v>
      </c>
      <c r="CO54" s="1720">
        <v>9401</v>
      </c>
      <c r="CP54" s="1720">
        <v>83</v>
      </c>
      <c r="CQ54" s="1720">
        <v>459</v>
      </c>
      <c r="CR54" s="1721">
        <v>31</v>
      </c>
      <c r="CS54" s="35"/>
      <c r="CT54" s="554">
        <v>252</v>
      </c>
      <c r="CU54" s="1539">
        <v>45</v>
      </c>
      <c r="CV54" s="1539">
        <v>15</v>
      </c>
      <c r="CW54" s="1539">
        <v>155</v>
      </c>
      <c r="CX54" s="1539">
        <v>14</v>
      </c>
      <c r="CY54" s="1722">
        <v>23</v>
      </c>
      <c r="CZ54" s="1722" t="s">
        <v>153</v>
      </c>
      <c r="DA54" s="555">
        <v>898002</v>
      </c>
      <c r="DB54" s="1431">
        <v>38456</v>
      </c>
    </row>
    <row r="55" spans="1:106" ht="15.75" customHeight="1">
      <c r="A55" s="320" t="s">
        <v>277</v>
      </c>
      <c r="B55" s="103">
        <v>28</v>
      </c>
      <c r="C55" s="113">
        <v>736</v>
      </c>
      <c r="D55" s="113">
        <v>112</v>
      </c>
      <c r="E55" s="113">
        <v>4</v>
      </c>
      <c r="F55" s="113">
        <v>2</v>
      </c>
      <c r="G55" s="113">
        <v>294</v>
      </c>
      <c r="H55" s="113">
        <v>294</v>
      </c>
      <c r="I55" s="119">
        <v>24</v>
      </c>
      <c r="J55" s="103">
        <v>32</v>
      </c>
      <c r="K55" s="105">
        <v>9867</v>
      </c>
      <c r="L55" s="1723">
        <v>750</v>
      </c>
      <c r="M55" s="105" t="s">
        <v>153</v>
      </c>
      <c r="N55" s="105" t="s">
        <v>153</v>
      </c>
      <c r="O55" s="105" t="s">
        <v>153</v>
      </c>
      <c r="P55" s="1723">
        <v>15</v>
      </c>
      <c r="Q55" s="105">
        <v>4778</v>
      </c>
      <c r="R55" s="105">
        <v>436</v>
      </c>
      <c r="S55" s="105">
        <v>2</v>
      </c>
      <c r="T55" s="105">
        <v>176</v>
      </c>
      <c r="U55" s="1724">
        <v>22</v>
      </c>
      <c r="V55" s="113">
        <v>2</v>
      </c>
      <c r="W55" s="105">
        <v>973</v>
      </c>
      <c r="X55" s="105">
        <v>74</v>
      </c>
      <c r="Y55" s="105">
        <v>1</v>
      </c>
      <c r="Z55" s="105">
        <v>694</v>
      </c>
      <c r="AA55" s="105">
        <v>46</v>
      </c>
      <c r="AB55" s="105">
        <v>1</v>
      </c>
      <c r="AC55" s="105">
        <v>285</v>
      </c>
      <c r="AD55" s="105">
        <v>40</v>
      </c>
      <c r="AE55" s="105">
        <v>9</v>
      </c>
      <c r="AF55" s="105">
        <v>4999</v>
      </c>
      <c r="AG55" s="1724">
        <v>546</v>
      </c>
      <c r="AH55" s="75" t="s">
        <v>153</v>
      </c>
      <c r="AI55" s="76" t="s">
        <v>153</v>
      </c>
      <c r="AJ55" s="76" t="s">
        <v>153</v>
      </c>
      <c r="AK55" s="105">
        <v>2</v>
      </c>
      <c r="AL55" s="105">
        <v>312</v>
      </c>
      <c r="AM55" s="1724">
        <v>84</v>
      </c>
      <c r="AN55" s="79" t="s">
        <v>153</v>
      </c>
      <c r="AO55" s="76" t="s">
        <v>153</v>
      </c>
      <c r="AP55" s="1723">
        <v>5</v>
      </c>
      <c r="AQ55" s="1723">
        <v>3</v>
      </c>
      <c r="AR55" s="105">
        <v>443923</v>
      </c>
      <c r="AS55" s="474">
        <v>225.6</v>
      </c>
      <c r="AT55" s="105">
        <v>287501</v>
      </c>
      <c r="AU55" s="184" t="s">
        <v>153</v>
      </c>
      <c r="AV55" s="79">
        <v>12</v>
      </c>
      <c r="AW55" s="105">
        <v>1</v>
      </c>
      <c r="AX55" s="105">
        <v>1</v>
      </c>
      <c r="AY55" s="1723">
        <v>7</v>
      </c>
      <c r="AZ55" s="105">
        <v>3</v>
      </c>
      <c r="BA55" s="76" t="s">
        <v>153</v>
      </c>
      <c r="BB55" s="76" t="s">
        <v>153</v>
      </c>
      <c r="BC55" s="76" t="s">
        <v>153</v>
      </c>
      <c r="BD55" s="76" t="s">
        <v>153</v>
      </c>
      <c r="BE55" s="76" t="s">
        <v>153</v>
      </c>
      <c r="BF55" s="1724">
        <v>29</v>
      </c>
      <c r="BG55" s="35"/>
      <c r="BH55" s="103">
        <v>15</v>
      </c>
      <c r="BI55" s="105">
        <v>43988</v>
      </c>
      <c r="BJ55" s="105">
        <v>2</v>
      </c>
      <c r="BK55" s="1723">
        <v>54824</v>
      </c>
      <c r="BL55" s="105">
        <v>9</v>
      </c>
      <c r="BM55" s="105">
        <v>9</v>
      </c>
      <c r="BN55" s="105">
        <v>128158</v>
      </c>
      <c r="BO55" s="105">
        <v>3</v>
      </c>
      <c r="BP55" s="76">
        <v>872</v>
      </c>
      <c r="BQ55" s="105">
        <v>9</v>
      </c>
      <c r="BR55" s="1724">
        <v>45</v>
      </c>
      <c r="BS55" s="35"/>
      <c r="BT55" s="117">
        <v>5</v>
      </c>
      <c r="BU55" s="118">
        <v>808</v>
      </c>
      <c r="BV55" s="723"/>
      <c r="BW55" s="103" t="s">
        <v>153</v>
      </c>
      <c r="BX55" s="206" t="s">
        <v>153</v>
      </c>
      <c r="BY55" s="105" t="s">
        <v>153</v>
      </c>
      <c r="BZ55" s="113">
        <v>59</v>
      </c>
      <c r="CA55" s="105">
        <v>2204</v>
      </c>
      <c r="CB55" s="105">
        <v>1815</v>
      </c>
      <c r="CC55" s="79">
        <v>42</v>
      </c>
      <c r="CD55" s="206">
        <v>1571</v>
      </c>
      <c r="CE55" s="1724">
        <v>1548</v>
      </c>
      <c r="CF55" s="35"/>
      <c r="CG55" s="103">
        <v>254</v>
      </c>
      <c r="CH55" s="105">
        <v>54</v>
      </c>
      <c r="CI55" s="105">
        <v>14</v>
      </c>
      <c r="CJ55" s="105">
        <v>14</v>
      </c>
      <c r="CK55" s="105">
        <v>2</v>
      </c>
      <c r="CL55" s="1723">
        <v>4</v>
      </c>
      <c r="CM55" s="1723">
        <v>1</v>
      </c>
      <c r="CN55" s="105">
        <v>52</v>
      </c>
      <c r="CO55" s="1723">
        <v>9826</v>
      </c>
      <c r="CP55" s="1723">
        <v>184</v>
      </c>
      <c r="CQ55" s="1723">
        <v>201</v>
      </c>
      <c r="CR55" s="1724">
        <v>200</v>
      </c>
      <c r="CS55" s="35"/>
      <c r="CT55" s="690">
        <v>234</v>
      </c>
      <c r="CU55" s="1556">
        <v>56</v>
      </c>
      <c r="CV55" s="1556">
        <v>24</v>
      </c>
      <c r="CW55" s="1556">
        <v>19</v>
      </c>
      <c r="CX55" s="1556">
        <v>79</v>
      </c>
      <c r="CY55" s="1733">
        <v>56</v>
      </c>
      <c r="CZ55" s="1727" t="s">
        <v>153</v>
      </c>
      <c r="DA55" s="689">
        <v>908728</v>
      </c>
      <c r="DB55" s="1558">
        <v>41343</v>
      </c>
    </row>
    <row r="56" spans="1:106" ht="15.75" customHeight="1">
      <c r="A56" s="236" t="s">
        <v>226</v>
      </c>
      <c r="B56" s="140">
        <v>38</v>
      </c>
      <c r="C56" s="153">
        <v>1957</v>
      </c>
      <c r="D56" s="153">
        <v>332</v>
      </c>
      <c r="E56" s="153">
        <v>11</v>
      </c>
      <c r="F56" s="153">
        <v>9</v>
      </c>
      <c r="G56" s="153">
        <v>1104</v>
      </c>
      <c r="H56" s="153">
        <v>810</v>
      </c>
      <c r="I56" s="147">
        <v>184</v>
      </c>
      <c r="J56" s="140">
        <v>62</v>
      </c>
      <c r="K56" s="141">
        <v>25835</v>
      </c>
      <c r="L56" s="1713">
        <v>2064</v>
      </c>
      <c r="M56" s="141" t="s">
        <v>153</v>
      </c>
      <c r="N56" s="141" t="s">
        <v>153</v>
      </c>
      <c r="O56" s="141" t="s">
        <v>153</v>
      </c>
      <c r="P56" s="1713">
        <v>26</v>
      </c>
      <c r="Q56" s="141">
        <v>12749</v>
      </c>
      <c r="R56" s="141">
        <v>1103</v>
      </c>
      <c r="S56" s="141">
        <v>2</v>
      </c>
      <c r="T56" s="141">
        <v>598</v>
      </c>
      <c r="U56" s="1712">
        <v>73</v>
      </c>
      <c r="V56" s="153" t="s">
        <v>153</v>
      </c>
      <c r="W56" s="141" t="s">
        <v>153</v>
      </c>
      <c r="X56" s="141" t="s">
        <v>153</v>
      </c>
      <c r="Y56" s="141" t="s">
        <v>153</v>
      </c>
      <c r="Z56" s="141" t="s">
        <v>153</v>
      </c>
      <c r="AA56" s="141" t="s">
        <v>153</v>
      </c>
      <c r="AB56" s="141" t="s">
        <v>153</v>
      </c>
      <c r="AC56" s="141" t="s">
        <v>153</v>
      </c>
      <c r="AD56" s="141" t="s">
        <v>153</v>
      </c>
      <c r="AE56" s="141">
        <v>16</v>
      </c>
      <c r="AF56" s="141">
        <v>11508</v>
      </c>
      <c r="AG56" s="1712">
        <v>1272</v>
      </c>
      <c r="AH56" s="140">
        <v>5</v>
      </c>
      <c r="AI56" s="141">
        <v>565</v>
      </c>
      <c r="AJ56" s="141">
        <v>120</v>
      </c>
      <c r="AK56" s="141" t="s">
        <v>153</v>
      </c>
      <c r="AL56" s="141" t="s">
        <v>153</v>
      </c>
      <c r="AM56" s="1712" t="s">
        <v>153</v>
      </c>
      <c r="AN56" s="153">
        <v>1</v>
      </c>
      <c r="AO56" s="141" t="s">
        <v>153</v>
      </c>
      <c r="AP56" s="1713">
        <v>3</v>
      </c>
      <c r="AQ56" s="1713">
        <v>6</v>
      </c>
      <c r="AR56" s="141">
        <v>1341600</v>
      </c>
      <c r="AS56" s="136">
        <v>300</v>
      </c>
      <c r="AT56" s="141">
        <v>2484197</v>
      </c>
      <c r="AU56" s="246" t="s">
        <v>153</v>
      </c>
      <c r="AV56" s="153">
        <v>17</v>
      </c>
      <c r="AW56" s="241" t="s">
        <v>153</v>
      </c>
      <c r="AX56" s="141">
        <v>3</v>
      </c>
      <c r="AY56" s="1713">
        <v>12</v>
      </c>
      <c r="AZ56" s="141">
        <v>2</v>
      </c>
      <c r="BA56" s="241" t="s">
        <v>153</v>
      </c>
      <c r="BB56" s="241" t="s">
        <v>153</v>
      </c>
      <c r="BC56" s="241" t="s">
        <v>153</v>
      </c>
      <c r="BD56" s="241" t="s">
        <v>153</v>
      </c>
      <c r="BE56" s="241" t="s">
        <v>153</v>
      </c>
      <c r="BF56" s="1712">
        <v>48</v>
      </c>
      <c r="BG56" s="35"/>
      <c r="BH56" s="140">
        <v>6</v>
      </c>
      <c r="BI56" s="141">
        <v>19090</v>
      </c>
      <c r="BJ56" s="141">
        <v>2</v>
      </c>
      <c r="BK56" s="1713">
        <v>47000</v>
      </c>
      <c r="BL56" s="141">
        <v>10</v>
      </c>
      <c r="BM56" s="141">
        <v>10</v>
      </c>
      <c r="BN56" s="141">
        <v>137277</v>
      </c>
      <c r="BO56" s="141">
        <v>5</v>
      </c>
      <c r="BP56" s="141">
        <v>8011</v>
      </c>
      <c r="BQ56" s="141">
        <v>8</v>
      </c>
      <c r="BR56" s="1712">
        <v>47</v>
      </c>
      <c r="BS56" s="35"/>
      <c r="BT56" s="160">
        <v>5</v>
      </c>
      <c r="BU56" s="161">
        <v>6060</v>
      </c>
      <c r="BV56" s="723"/>
      <c r="BW56" s="140" t="s">
        <v>148</v>
      </c>
      <c r="BX56" s="141" t="s">
        <v>148</v>
      </c>
      <c r="BY56" s="141" t="s">
        <v>148</v>
      </c>
      <c r="BZ56" s="141">
        <v>65</v>
      </c>
      <c r="CA56" s="141">
        <v>6073</v>
      </c>
      <c r="CB56" s="141">
        <v>6073</v>
      </c>
      <c r="CC56" s="153" t="s">
        <v>148</v>
      </c>
      <c r="CD56" s="141" t="s">
        <v>148</v>
      </c>
      <c r="CE56" s="1712" t="s">
        <v>148</v>
      </c>
      <c r="CF56" s="35"/>
      <c r="CG56" s="140">
        <v>469</v>
      </c>
      <c r="CH56" s="141">
        <v>67</v>
      </c>
      <c r="CI56" s="141">
        <v>20</v>
      </c>
      <c r="CJ56" s="141">
        <v>20</v>
      </c>
      <c r="CK56" s="141">
        <v>4</v>
      </c>
      <c r="CL56" s="1713">
        <v>3</v>
      </c>
      <c r="CM56" s="1713">
        <v>8</v>
      </c>
      <c r="CN56" s="141">
        <v>122</v>
      </c>
      <c r="CO56" s="1713">
        <v>25546</v>
      </c>
      <c r="CP56" s="1713">
        <v>331</v>
      </c>
      <c r="CQ56" s="1713">
        <v>231</v>
      </c>
      <c r="CR56" s="1712">
        <v>192</v>
      </c>
      <c r="CS56" s="35"/>
      <c r="CT56" s="812">
        <v>231</v>
      </c>
      <c r="CU56" s="1538">
        <v>18</v>
      </c>
      <c r="CV56" s="1538">
        <v>13</v>
      </c>
      <c r="CW56" s="1538">
        <v>126</v>
      </c>
      <c r="CX56" s="1538">
        <v>14</v>
      </c>
      <c r="CY56" s="1538">
        <v>60</v>
      </c>
      <c r="CZ56" s="1538" t="s">
        <v>148</v>
      </c>
      <c r="DA56" s="577">
        <v>1470109</v>
      </c>
      <c r="DB56" s="1442">
        <v>8849</v>
      </c>
    </row>
    <row r="57" spans="1:106" ht="15.75" customHeight="1">
      <c r="A57" s="320" t="s">
        <v>278</v>
      </c>
      <c r="B57" s="103" t="s">
        <v>153</v>
      </c>
      <c r="C57" s="113" t="s">
        <v>153</v>
      </c>
      <c r="D57" s="113" t="s">
        <v>153</v>
      </c>
      <c r="E57" s="113">
        <v>15</v>
      </c>
      <c r="F57" s="113">
        <v>15</v>
      </c>
      <c r="G57" s="113">
        <v>1121</v>
      </c>
      <c r="H57" s="113">
        <v>1013</v>
      </c>
      <c r="I57" s="119">
        <v>169</v>
      </c>
      <c r="J57" s="103">
        <v>37</v>
      </c>
      <c r="K57" s="105">
        <v>9451</v>
      </c>
      <c r="L57" s="1723">
        <v>654</v>
      </c>
      <c r="M57" s="105" t="s">
        <v>153</v>
      </c>
      <c r="N57" s="105" t="s">
        <v>153</v>
      </c>
      <c r="O57" s="105" t="s">
        <v>153</v>
      </c>
      <c r="P57" s="1723">
        <v>27</v>
      </c>
      <c r="Q57" s="105">
        <v>4915</v>
      </c>
      <c r="R57" s="105">
        <v>451</v>
      </c>
      <c r="S57" s="105">
        <v>1</v>
      </c>
      <c r="T57" s="105">
        <v>60</v>
      </c>
      <c r="U57" s="1724">
        <v>9</v>
      </c>
      <c r="V57" s="113" t="s">
        <v>153</v>
      </c>
      <c r="W57" s="105" t="s">
        <v>153</v>
      </c>
      <c r="X57" s="105" t="s">
        <v>153</v>
      </c>
      <c r="Y57" s="105" t="s">
        <v>153</v>
      </c>
      <c r="Z57" s="105" t="s">
        <v>153</v>
      </c>
      <c r="AA57" s="105" t="s">
        <v>153</v>
      </c>
      <c r="AB57" s="105">
        <v>1</v>
      </c>
      <c r="AC57" s="105">
        <v>462</v>
      </c>
      <c r="AD57" s="105">
        <v>44</v>
      </c>
      <c r="AE57" s="105">
        <v>10</v>
      </c>
      <c r="AF57" s="105">
        <v>3795</v>
      </c>
      <c r="AG57" s="1724">
        <v>371</v>
      </c>
      <c r="AH57" s="103" t="s">
        <v>153</v>
      </c>
      <c r="AI57" s="105" t="s">
        <v>153</v>
      </c>
      <c r="AJ57" s="105" t="s">
        <v>153</v>
      </c>
      <c r="AK57" s="105">
        <v>1</v>
      </c>
      <c r="AL57" s="105">
        <v>62</v>
      </c>
      <c r="AM57" s="1724">
        <v>23</v>
      </c>
      <c r="AN57" s="113" t="s">
        <v>153</v>
      </c>
      <c r="AO57" s="105" t="s">
        <v>153</v>
      </c>
      <c r="AP57" s="1723">
        <v>2</v>
      </c>
      <c r="AQ57" s="1723">
        <v>7</v>
      </c>
      <c r="AR57" s="105">
        <v>802064</v>
      </c>
      <c r="AS57" s="474">
        <v>385.4</v>
      </c>
      <c r="AT57" s="105">
        <v>778205</v>
      </c>
      <c r="AU57" s="119">
        <v>6249</v>
      </c>
      <c r="AV57" s="79">
        <v>15</v>
      </c>
      <c r="AW57" s="76">
        <v>1</v>
      </c>
      <c r="AX57" s="76">
        <v>2</v>
      </c>
      <c r="AY57" s="1726">
        <v>8</v>
      </c>
      <c r="AZ57" s="76">
        <v>4</v>
      </c>
      <c r="BA57" s="628" t="s">
        <v>153</v>
      </c>
      <c r="BB57" s="628" t="s">
        <v>153</v>
      </c>
      <c r="BC57" s="628" t="s">
        <v>153</v>
      </c>
      <c r="BD57" s="628" t="s">
        <v>153</v>
      </c>
      <c r="BE57" s="628" t="s">
        <v>153</v>
      </c>
      <c r="BF57" s="1724">
        <v>23</v>
      </c>
      <c r="BG57" s="35"/>
      <c r="BH57" s="103">
        <v>10</v>
      </c>
      <c r="BI57" s="105">
        <v>29807</v>
      </c>
      <c r="BJ57" s="105">
        <v>1</v>
      </c>
      <c r="BK57" s="1723">
        <v>20800</v>
      </c>
      <c r="BL57" s="105">
        <v>3</v>
      </c>
      <c r="BM57" s="105">
        <v>3</v>
      </c>
      <c r="BN57" s="105">
        <v>62500</v>
      </c>
      <c r="BO57" s="105">
        <v>9</v>
      </c>
      <c r="BP57" s="105">
        <v>4763</v>
      </c>
      <c r="BQ57" s="105">
        <v>7</v>
      </c>
      <c r="BR57" s="1724">
        <v>33</v>
      </c>
      <c r="BS57" s="35"/>
      <c r="BT57" s="117">
        <v>7</v>
      </c>
      <c r="BU57" s="118">
        <v>4693</v>
      </c>
      <c r="BV57" s="723"/>
      <c r="BW57" s="627">
        <v>33</v>
      </c>
      <c r="BX57" s="325" t="s">
        <v>153</v>
      </c>
      <c r="BY57" s="105">
        <v>2410</v>
      </c>
      <c r="BZ57" s="113">
        <v>2</v>
      </c>
      <c r="CA57" s="325" t="s">
        <v>153</v>
      </c>
      <c r="CB57" s="105">
        <v>75</v>
      </c>
      <c r="CC57" s="113">
        <v>6</v>
      </c>
      <c r="CD57" s="105">
        <v>200</v>
      </c>
      <c r="CE57" s="1724">
        <v>252</v>
      </c>
      <c r="CF57" s="35"/>
      <c r="CG57" s="103">
        <v>352</v>
      </c>
      <c r="CH57" s="105">
        <v>73</v>
      </c>
      <c r="CI57" s="105">
        <v>16</v>
      </c>
      <c r="CJ57" s="105">
        <v>6</v>
      </c>
      <c r="CK57" s="105">
        <v>2</v>
      </c>
      <c r="CL57" s="1723">
        <v>2</v>
      </c>
      <c r="CM57" s="1723">
        <v>10</v>
      </c>
      <c r="CN57" s="105">
        <v>85</v>
      </c>
      <c r="CO57" s="1723">
        <v>11544</v>
      </c>
      <c r="CP57" s="1723">
        <v>58</v>
      </c>
      <c r="CQ57" s="1723">
        <v>465</v>
      </c>
      <c r="CR57" s="1724">
        <v>357</v>
      </c>
      <c r="CS57" s="35"/>
      <c r="CT57" s="690">
        <v>262</v>
      </c>
      <c r="CU57" s="1556">
        <v>37</v>
      </c>
      <c r="CV57" s="1556">
        <v>2</v>
      </c>
      <c r="CW57" s="1556">
        <v>140</v>
      </c>
      <c r="CX57" s="1556">
        <v>19</v>
      </c>
      <c r="CY57" s="1733">
        <v>15</v>
      </c>
      <c r="CZ57" s="1733">
        <v>49</v>
      </c>
      <c r="DA57" s="689">
        <v>1088919</v>
      </c>
      <c r="DB57" s="1558">
        <v>143763</v>
      </c>
    </row>
    <row r="58" spans="1:106" ht="15.75" customHeight="1">
      <c r="A58" s="236" t="s">
        <v>228</v>
      </c>
      <c r="B58" s="140">
        <v>9</v>
      </c>
      <c r="C58" s="153">
        <v>290</v>
      </c>
      <c r="D58" s="153">
        <v>65</v>
      </c>
      <c r="E58" s="153">
        <v>13</v>
      </c>
      <c r="F58" s="153">
        <v>4</v>
      </c>
      <c r="G58" s="153">
        <v>2197</v>
      </c>
      <c r="H58" s="153">
        <v>755</v>
      </c>
      <c r="I58" s="147">
        <v>209</v>
      </c>
      <c r="J58" s="140">
        <v>70</v>
      </c>
      <c r="K58" s="141">
        <v>23394</v>
      </c>
      <c r="L58" s="1713">
        <v>1611</v>
      </c>
      <c r="M58" s="141">
        <v>3</v>
      </c>
      <c r="N58" s="141">
        <v>822</v>
      </c>
      <c r="O58" s="141">
        <v>68</v>
      </c>
      <c r="P58" s="1713">
        <v>30</v>
      </c>
      <c r="Q58" s="141">
        <v>11048</v>
      </c>
      <c r="R58" s="141">
        <v>721</v>
      </c>
      <c r="S58" s="141">
        <v>6</v>
      </c>
      <c r="T58" s="141" t="s">
        <v>181</v>
      </c>
      <c r="U58" s="1712" t="s">
        <v>181</v>
      </c>
      <c r="V58" s="153">
        <v>2</v>
      </c>
      <c r="W58" s="141">
        <v>780</v>
      </c>
      <c r="X58" s="141">
        <v>70</v>
      </c>
      <c r="Y58" s="141" t="s">
        <v>148</v>
      </c>
      <c r="Z58" s="141" t="s">
        <v>148</v>
      </c>
      <c r="AA58" s="141" t="s">
        <v>148</v>
      </c>
      <c r="AB58" s="141">
        <v>1</v>
      </c>
      <c r="AC58" s="141">
        <v>588</v>
      </c>
      <c r="AD58" s="141">
        <v>48</v>
      </c>
      <c r="AE58" s="141" t="s">
        <v>181</v>
      </c>
      <c r="AF58" s="141" t="s">
        <v>181</v>
      </c>
      <c r="AG58" s="1712" t="s">
        <v>181</v>
      </c>
      <c r="AH58" s="140" t="s">
        <v>148</v>
      </c>
      <c r="AI58" s="141" t="s">
        <v>148</v>
      </c>
      <c r="AJ58" s="141" t="s">
        <v>148</v>
      </c>
      <c r="AK58" s="141" t="s">
        <v>181</v>
      </c>
      <c r="AL58" s="141" t="s">
        <v>181</v>
      </c>
      <c r="AM58" s="1712" t="s">
        <v>181</v>
      </c>
      <c r="AN58" s="153" t="s">
        <v>148</v>
      </c>
      <c r="AO58" s="141">
        <v>1</v>
      </c>
      <c r="AP58" s="1713">
        <v>3</v>
      </c>
      <c r="AQ58" s="1539">
        <v>7</v>
      </c>
      <c r="AR58" s="555">
        <v>1169530</v>
      </c>
      <c r="AS58" s="1396">
        <v>254.7</v>
      </c>
      <c r="AT58" s="555">
        <v>2344612</v>
      </c>
      <c r="AU58" s="641">
        <v>35839</v>
      </c>
      <c r="AV58" s="640">
        <v>15</v>
      </c>
      <c r="AW58" s="555" t="s">
        <v>148</v>
      </c>
      <c r="AX58" s="555" t="s">
        <v>148</v>
      </c>
      <c r="AY58" s="1539">
        <v>10</v>
      </c>
      <c r="AZ58" s="555">
        <v>3</v>
      </c>
      <c r="BA58" s="555" t="s">
        <v>148</v>
      </c>
      <c r="BB58" s="555">
        <v>1</v>
      </c>
      <c r="BC58" s="555">
        <v>1</v>
      </c>
      <c r="BD58" s="555" t="s">
        <v>148</v>
      </c>
      <c r="BE58" s="555" t="s">
        <v>148</v>
      </c>
      <c r="BF58" s="1431" t="s">
        <v>153</v>
      </c>
      <c r="BG58" s="35"/>
      <c r="BH58" s="554">
        <v>6</v>
      </c>
      <c r="BI58" s="555">
        <v>34513</v>
      </c>
      <c r="BJ58" s="555">
        <v>1</v>
      </c>
      <c r="BK58" s="1539">
        <v>25000</v>
      </c>
      <c r="BL58" s="555">
        <v>5</v>
      </c>
      <c r="BM58" s="555">
        <v>6</v>
      </c>
      <c r="BN58" s="555">
        <v>118617</v>
      </c>
      <c r="BO58" s="555">
        <v>4</v>
      </c>
      <c r="BP58" s="555">
        <v>2505</v>
      </c>
      <c r="BQ58" s="555">
        <v>11</v>
      </c>
      <c r="BR58" s="1431">
        <v>61</v>
      </c>
      <c r="BS58" s="35"/>
      <c r="BT58" s="687">
        <v>15</v>
      </c>
      <c r="BU58" s="688">
        <v>2003</v>
      </c>
      <c r="BV58" s="727"/>
      <c r="BW58" s="238">
        <v>150</v>
      </c>
      <c r="BX58" s="241">
        <v>6000</v>
      </c>
      <c r="BY58" s="241">
        <v>6132</v>
      </c>
      <c r="BZ58" s="245" t="s">
        <v>153</v>
      </c>
      <c r="CA58" s="241" t="s">
        <v>153</v>
      </c>
      <c r="CB58" s="241" t="s">
        <v>153</v>
      </c>
      <c r="CC58" s="245">
        <v>3</v>
      </c>
      <c r="CD58" s="241">
        <v>120</v>
      </c>
      <c r="CE58" s="1721">
        <v>76</v>
      </c>
      <c r="CF58" s="35"/>
      <c r="CG58" s="140">
        <v>468</v>
      </c>
      <c r="CH58" s="141">
        <v>72</v>
      </c>
      <c r="CI58" s="141">
        <v>17</v>
      </c>
      <c r="CJ58" s="141">
        <v>17</v>
      </c>
      <c r="CK58" s="141">
        <v>7</v>
      </c>
      <c r="CL58" s="1713">
        <v>1</v>
      </c>
      <c r="CM58" s="1713">
        <v>4</v>
      </c>
      <c r="CN58" s="141">
        <v>93</v>
      </c>
      <c r="CO58" s="1713">
        <v>22111</v>
      </c>
      <c r="CP58" s="1713">
        <v>276</v>
      </c>
      <c r="CQ58" s="1713">
        <v>337</v>
      </c>
      <c r="CR58" s="1712">
        <v>274</v>
      </c>
      <c r="CS58" s="35"/>
      <c r="CT58" s="576">
        <v>139</v>
      </c>
      <c r="CU58" s="1538">
        <v>56</v>
      </c>
      <c r="CV58" s="1538">
        <v>9</v>
      </c>
      <c r="CW58" s="1538">
        <v>15</v>
      </c>
      <c r="CX58" s="1538">
        <v>16</v>
      </c>
      <c r="CY58" s="1714">
        <v>41</v>
      </c>
      <c r="CZ58" s="1714" t="s">
        <v>153</v>
      </c>
      <c r="DA58" s="577">
        <v>1341033.8999999999</v>
      </c>
      <c r="DB58" s="1442">
        <v>134450.10999999999</v>
      </c>
    </row>
    <row r="59" spans="1:106" ht="15.75" customHeight="1">
      <c r="A59" s="320" t="s">
        <v>229</v>
      </c>
      <c r="B59" s="507">
        <v>5</v>
      </c>
      <c r="C59" s="567">
        <v>198</v>
      </c>
      <c r="D59" s="567">
        <v>22</v>
      </c>
      <c r="E59" s="567">
        <v>7</v>
      </c>
      <c r="F59" s="567">
        <v>6</v>
      </c>
      <c r="G59" s="567">
        <f>369+H59</f>
        <v>689</v>
      </c>
      <c r="H59" s="567">
        <v>320</v>
      </c>
      <c r="I59" s="590">
        <v>74</v>
      </c>
      <c r="J59" s="507">
        <v>42</v>
      </c>
      <c r="K59" s="565">
        <v>11557</v>
      </c>
      <c r="L59" s="1717">
        <v>865</v>
      </c>
      <c r="M59" s="565" t="s">
        <v>148</v>
      </c>
      <c r="N59" s="565" t="s">
        <v>148</v>
      </c>
      <c r="O59" s="565" t="s">
        <v>148</v>
      </c>
      <c r="P59" s="1717">
        <v>22</v>
      </c>
      <c r="Q59" s="565">
        <v>5815</v>
      </c>
      <c r="R59" s="565">
        <v>490</v>
      </c>
      <c r="S59" s="565">
        <v>1</v>
      </c>
      <c r="T59" s="565">
        <v>60</v>
      </c>
      <c r="U59" s="1741">
        <v>8</v>
      </c>
      <c r="V59" s="567" t="s">
        <v>148</v>
      </c>
      <c r="W59" s="565" t="s">
        <v>148</v>
      </c>
      <c r="X59" s="565" t="s">
        <v>148</v>
      </c>
      <c r="Y59" s="565" t="s">
        <v>148</v>
      </c>
      <c r="Z59" s="565" t="s">
        <v>148</v>
      </c>
      <c r="AA59" s="565" t="s">
        <v>148</v>
      </c>
      <c r="AB59" s="565">
        <v>1</v>
      </c>
      <c r="AC59" s="565">
        <v>473</v>
      </c>
      <c r="AD59" s="565">
        <v>43</v>
      </c>
      <c r="AE59" s="565">
        <v>12</v>
      </c>
      <c r="AF59" s="565">
        <v>4493</v>
      </c>
      <c r="AG59" s="1741">
        <v>394</v>
      </c>
      <c r="AH59" s="507" t="s">
        <v>148</v>
      </c>
      <c r="AI59" s="565" t="s">
        <v>148</v>
      </c>
      <c r="AJ59" s="565" t="s">
        <v>148</v>
      </c>
      <c r="AK59" s="565">
        <v>1</v>
      </c>
      <c r="AL59" s="565">
        <v>133</v>
      </c>
      <c r="AM59" s="1741">
        <v>24</v>
      </c>
      <c r="AN59" s="567" t="s">
        <v>148</v>
      </c>
      <c r="AO59" s="565">
        <v>1</v>
      </c>
      <c r="AP59" s="1717">
        <v>3</v>
      </c>
      <c r="AQ59" s="1717">
        <v>7</v>
      </c>
      <c r="AR59" s="565">
        <v>797922</v>
      </c>
      <c r="AS59" s="591">
        <f>AR59/249012*100</f>
        <v>320.43515975133732</v>
      </c>
      <c r="AT59" s="565">
        <v>1104008</v>
      </c>
      <c r="AU59" s="590" t="s">
        <v>148</v>
      </c>
      <c r="AV59" s="567">
        <f>SUM(AW59:BE59)</f>
        <v>20</v>
      </c>
      <c r="AW59" s="565" t="s">
        <v>148</v>
      </c>
      <c r="AX59" s="565">
        <v>2</v>
      </c>
      <c r="AY59" s="1717">
        <v>16</v>
      </c>
      <c r="AZ59" s="565">
        <v>1</v>
      </c>
      <c r="BA59" s="565" t="s">
        <v>148</v>
      </c>
      <c r="BB59" s="565" t="s">
        <v>148</v>
      </c>
      <c r="BC59" s="565" t="s">
        <v>148</v>
      </c>
      <c r="BD59" s="565" t="s">
        <v>148</v>
      </c>
      <c r="BE59" s="565">
        <v>1</v>
      </c>
      <c r="BF59" s="1741">
        <v>34</v>
      </c>
      <c r="BG59" s="532"/>
      <c r="BH59" s="507">
        <v>9</v>
      </c>
      <c r="BI59" s="565">
        <v>20358</v>
      </c>
      <c r="BJ59" s="565">
        <v>1</v>
      </c>
      <c r="BK59" s="1717">
        <v>29754</v>
      </c>
      <c r="BL59" s="565">
        <v>5</v>
      </c>
      <c r="BM59" s="565">
        <v>5</v>
      </c>
      <c r="BN59" s="565">
        <v>94095</v>
      </c>
      <c r="BO59" s="565">
        <v>3</v>
      </c>
      <c r="BP59" s="565">
        <v>4062</v>
      </c>
      <c r="BQ59" s="565">
        <v>7</v>
      </c>
      <c r="BR59" s="1741">
        <v>32</v>
      </c>
      <c r="BS59" s="532"/>
      <c r="BT59" s="890">
        <v>6</v>
      </c>
      <c r="BU59" s="673">
        <v>4290</v>
      </c>
      <c r="BV59" s="724"/>
      <c r="BW59" s="507">
        <v>37</v>
      </c>
      <c r="BX59" s="565">
        <v>2980</v>
      </c>
      <c r="BY59" s="565">
        <v>2569</v>
      </c>
      <c r="BZ59" s="567" t="s">
        <v>148</v>
      </c>
      <c r="CA59" s="565" t="s">
        <v>148</v>
      </c>
      <c r="CB59" s="565" t="s">
        <v>148</v>
      </c>
      <c r="CC59" s="567" t="s">
        <v>148</v>
      </c>
      <c r="CD59" s="565" t="s">
        <v>148</v>
      </c>
      <c r="CE59" s="1741" t="s">
        <v>148</v>
      </c>
      <c r="CF59" s="532"/>
      <c r="CG59" s="507">
        <v>325</v>
      </c>
      <c r="CH59" s="565">
        <v>43</v>
      </c>
      <c r="CI59" s="565">
        <v>13</v>
      </c>
      <c r="CJ59" s="565">
        <v>13</v>
      </c>
      <c r="CK59" s="565">
        <v>6</v>
      </c>
      <c r="CL59" s="1717" t="s">
        <v>148</v>
      </c>
      <c r="CM59" s="1717">
        <v>4</v>
      </c>
      <c r="CN59" s="565">
        <v>101</v>
      </c>
      <c r="CO59" s="1717">
        <v>16675</v>
      </c>
      <c r="CP59" s="1717">
        <v>127</v>
      </c>
      <c r="CQ59" s="1717">
        <v>245</v>
      </c>
      <c r="CR59" s="1741">
        <v>186</v>
      </c>
      <c r="CS59" s="532"/>
      <c r="CT59" s="515">
        <v>131</v>
      </c>
      <c r="CU59" s="1600">
        <v>29</v>
      </c>
      <c r="CV59" s="1600">
        <v>52</v>
      </c>
      <c r="CW59" s="1600">
        <v>11</v>
      </c>
      <c r="CX59" s="1600">
        <v>10</v>
      </c>
      <c r="CY59" s="1742">
        <v>29</v>
      </c>
      <c r="CZ59" s="1742" t="s">
        <v>148</v>
      </c>
      <c r="DA59" s="601">
        <v>1483051</v>
      </c>
      <c r="DB59" s="1424">
        <v>26218</v>
      </c>
    </row>
    <row r="60" spans="1:106" ht="15.75" customHeight="1">
      <c r="A60" s="236" t="s">
        <v>230</v>
      </c>
      <c r="B60" s="140">
        <v>20</v>
      </c>
      <c r="C60" s="153">
        <v>579</v>
      </c>
      <c r="D60" s="153">
        <v>82</v>
      </c>
      <c r="E60" s="153">
        <v>17</v>
      </c>
      <c r="F60" s="153">
        <v>9</v>
      </c>
      <c r="G60" s="153">
        <v>2293</v>
      </c>
      <c r="H60" s="153">
        <v>769</v>
      </c>
      <c r="I60" s="147">
        <v>243</v>
      </c>
      <c r="J60" s="140">
        <v>51</v>
      </c>
      <c r="K60" s="141">
        <v>21942</v>
      </c>
      <c r="L60" s="1713">
        <v>1620</v>
      </c>
      <c r="M60" s="141">
        <v>1</v>
      </c>
      <c r="N60" s="141">
        <v>620</v>
      </c>
      <c r="O60" s="141">
        <v>30</v>
      </c>
      <c r="P60" s="1713">
        <v>23</v>
      </c>
      <c r="Q60" s="141">
        <v>10936</v>
      </c>
      <c r="R60" s="141">
        <v>887</v>
      </c>
      <c r="S60" s="141">
        <v>5</v>
      </c>
      <c r="T60" s="141">
        <v>965</v>
      </c>
      <c r="U60" s="1712">
        <v>87</v>
      </c>
      <c r="V60" s="245" t="s">
        <v>153</v>
      </c>
      <c r="W60" s="241" t="s">
        <v>153</v>
      </c>
      <c r="X60" s="241" t="s">
        <v>153</v>
      </c>
      <c r="Y60" s="241" t="s">
        <v>153</v>
      </c>
      <c r="Z60" s="241" t="s">
        <v>153</v>
      </c>
      <c r="AA60" s="241" t="s">
        <v>153</v>
      </c>
      <c r="AB60" s="141">
        <v>1</v>
      </c>
      <c r="AC60" s="141">
        <v>833</v>
      </c>
      <c r="AD60" s="141">
        <v>74</v>
      </c>
      <c r="AE60" s="141">
        <v>13</v>
      </c>
      <c r="AF60" s="141">
        <v>10557</v>
      </c>
      <c r="AG60" s="1712">
        <v>938</v>
      </c>
      <c r="AH60" s="238" t="s">
        <v>153</v>
      </c>
      <c r="AI60" s="241" t="s">
        <v>153</v>
      </c>
      <c r="AJ60" s="241" t="s">
        <v>153</v>
      </c>
      <c r="AK60" s="141">
        <v>6</v>
      </c>
      <c r="AL60" s="141">
        <v>1074</v>
      </c>
      <c r="AM60" s="1712">
        <v>63</v>
      </c>
      <c r="AN60" s="245" t="s">
        <v>153</v>
      </c>
      <c r="AO60" s="241" t="s">
        <v>153</v>
      </c>
      <c r="AP60" s="1720" t="s">
        <v>153</v>
      </c>
      <c r="AQ60" s="1713">
        <v>5</v>
      </c>
      <c r="AR60" s="141">
        <v>1323127</v>
      </c>
      <c r="AS60" s="475">
        <v>321.89999999999998</v>
      </c>
      <c r="AT60" s="141">
        <v>2405710</v>
      </c>
      <c r="AU60" s="147">
        <v>2422</v>
      </c>
      <c r="AV60" s="153">
        <v>16</v>
      </c>
      <c r="AW60" s="141">
        <v>2</v>
      </c>
      <c r="AX60" s="241" t="s">
        <v>153</v>
      </c>
      <c r="AY60" s="1713">
        <v>7</v>
      </c>
      <c r="AZ60" s="141">
        <v>5</v>
      </c>
      <c r="BA60" s="141">
        <v>1</v>
      </c>
      <c r="BB60" s="241" t="s">
        <v>153</v>
      </c>
      <c r="BC60" s="241" t="s">
        <v>153</v>
      </c>
      <c r="BD60" s="241" t="s">
        <v>153</v>
      </c>
      <c r="BE60" s="141">
        <v>1</v>
      </c>
      <c r="BF60" s="1712" t="s">
        <v>148</v>
      </c>
      <c r="BG60" s="35"/>
      <c r="BH60" s="140">
        <v>13</v>
      </c>
      <c r="BI60" s="141">
        <v>34767</v>
      </c>
      <c r="BJ60" s="141">
        <v>1</v>
      </c>
      <c r="BK60" s="1713">
        <v>52622</v>
      </c>
      <c r="BL60" s="141">
        <v>9</v>
      </c>
      <c r="BM60" s="141">
        <v>9</v>
      </c>
      <c r="BN60" s="141">
        <v>90664</v>
      </c>
      <c r="BO60" s="141">
        <v>6</v>
      </c>
      <c r="BP60" s="141">
        <v>2337</v>
      </c>
      <c r="BQ60" s="141">
        <v>11</v>
      </c>
      <c r="BR60" s="1712">
        <v>39</v>
      </c>
      <c r="BS60" s="35"/>
      <c r="BT60" s="160">
        <v>2</v>
      </c>
      <c r="BU60" s="161">
        <v>1500</v>
      </c>
      <c r="BV60" s="723"/>
      <c r="BW60" s="238">
        <v>45</v>
      </c>
      <c r="BX60" s="141">
        <v>4090</v>
      </c>
      <c r="BY60" s="241">
        <v>3868</v>
      </c>
      <c r="BZ60" s="153">
        <v>3</v>
      </c>
      <c r="CA60" s="141">
        <v>115</v>
      </c>
      <c r="CB60" s="141">
        <v>82</v>
      </c>
      <c r="CC60" s="245">
        <v>34</v>
      </c>
      <c r="CD60" s="141">
        <v>1316</v>
      </c>
      <c r="CE60" s="1712">
        <v>1138</v>
      </c>
      <c r="CF60" s="35"/>
      <c r="CG60" s="140">
        <v>505</v>
      </c>
      <c r="CH60" s="141">
        <v>77</v>
      </c>
      <c r="CI60" s="141">
        <v>19</v>
      </c>
      <c r="CJ60" s="141">
        <v>19</v>
      </c>
      <c r="CK60" s="141">
        <v>5</v>
      </c>
      <c r="CL60" s="1713">
        <v>4</v>
      </c>
      <c r="CM60" s="1713">
        <v>5</v>
      </c>
      <c r="CN60" s="141">
        <v>172</v>
      </c>
      <c r="CO60" s="1713">
        <v>25263</v>
      </c>
      <c r="CP60" s="1713">
        <v>148</v>
      </c>
      <c r="CQ60" s="1713">
        <v>193</v>
      </c>
      <c r="CR60" s="1712">
        <v>154</v>
      </c>
      <c r="CS60" s="35"/>
      <c r="CT60" s="576">
        <v>211</v>
      </c>
      <c r="CU60" s="1538">
        <v>41</v>
      </c>
      <c r="CV60" s="1538">
        <v>7</v>
      </c>
      <c r="CW60" s="1538">
        <v>102</v>
      </c>
      <c r="CX60" s="1538">
        <v>58</v>
      </c>
      <c r="CY60" s="1714">
        <v>3</v>
      </c>
      <c r="CZ60" s="1714" t="s">
        <v>148</v>
      </c>
      <c r="DA60" s="577">
        <v>1402971.09</v>
      </c>
      <c r="DB60" s="1442">
        <v>76049.440000000002</v>
      </c>
    </row>
    <row r="61" spans="1:106" ht="15.75" customHeight="1">
      <c r="A61" s="320" t="s">
        <v>231</v>
      </c>
      <c r="B61" s="75">
        <v>5</v>
      </c>
      <c r="C61" s="79">
        <v>175</v>
      </c>
      <c r="D61" s="79">
        <v>26</v>
      </c>
      <c r="E61" s="79">
        <v>22</v>
      </c>
      <c r="F61" s="79">
        <v>12</v>
      </c>
      <c r="G61" s="79">
        <v>3181</v>
      </c>
      <c r="H61" s="79">
        <v>1083</v>
      </c>
      <c r="I61" s="184">
        <v>611</v>
      </c>
      <c r="J61" s="75">
        <v>59</v>
      </c>
      <c r="K61" s="76">
        <v>25880</v>
      </c>
      <c r="L61" s="1726">
        <v>1502</v>
      </c>
      <c r="M61" s="76">
        <v>1</v>
      </c>
      <c r="N61" s="76">
        <v>566</v>
      </c>
      <c r="O61" s="76">
        <v>29</v>
      </c>
      <c r="P61" s="1726">
        <v>29</v>
      </c>
      <c r="Q61" s="76">
        <v>11973</v>
      </c>
      <c r="R61" s="76">
        <v>858</v>
      </c>
      <c r="S61" s="76">
        <v>3</v>
      </c>
      <c r="T61" s="76">
        <v>1149</v>
      </c>
      <c r="U61" s="1380">
        <v>129</v>
      </c>
      <c r="V61" s="79" t="s">
        <v>153</v>
      </c>
      <c r="W61" s="76" t="s">
        <v>153</v>
      </c>
      <c r="X61" s="76" t="s">
        <v>153</v>
      </c>
      <c r="Y61" s="76" t="s">
        <v>153</v>
      </c>
      <c r="Z61" s="76" t="s">
        <v>153</v>
      </c>
      <c r="AA61" s="76" t="s">
        <v>153</v>
      </c>
      <c r="AB61" s="76" t="s">
        <v>153</v>
      </c>
      <c r="AC61" s="76" t="s">
        <v>153</v>
      </c>
      <c r="AD61" s="76" t="s">
        <v>153</v>
      </c>
      <c r="AE61" s="76">
        <v>16</v>
      </c>
      <c r="AF61" s="76">
        <v>14486</v>
      </c>
      <c r="AG61" s="1725">
        <v>993</v>
      </c>
      <c r="AH61" s="75" t="s">
        <v>153</v>
      </c>
      <c r="AI61" s="76" t="s">
        <v>153</v>
      </c>
      <c r="AJ61" s="76" t="s">
        <v>153</v>
      </c>
      <c r="AK61" s="76">
        <v>3</v>
      </c>
      <c r="AL61" s="76">
        <v>118</v>
      </c>
      <c r="AM61" s="1725">
        <v>30</v>
      </c>
      <c r="AN61" s="79" t="s">
        <v>153</v>
      </c>
      <c r="AO61" s="76" t="s">
        <v>153</v>
      </c>
      <c r="AP61" s="1726">
        <v>4</v>
      </c>
      <c r="AQ61" s="1726">
        <v>4</v>
      </c>
      <c r="AR61" s="76">
        <v>818849</v>
      </c>
      <c r="AS61" s="473">
        <v>162.6</v>
      </c>
      <c r="AT61" s="76">
        <v>1749412</v>
      </c>
      <c r="AU61" s="184" t="s">
        <v>153</v>
      </c>
      <c r="AV61" s="79">
        <v>12</v>
      </c>
      <c r="AW61" s="76">
        <v>1</v>
      </c>
      <c r="AX61" s="76" t="s">
        <v>153</v>
      </c>
      <c r="AY61" s="1726">
        <v>8</v>
      </c>
      <c r="AZ61" s="76">
        <v>3</v>
      </c>
      <c r="BA61" s="76" t="s">
        <v>153</v>
      </c>
      <c r="BB61" s="76" t="s">
        <v>153</v>
      </c>
      <c r="BC61" s="76" t="s">
        <v>153</v>
      </c>
      <c r="BD61" s="76" t="s">
        <v>153</v>
      </c>
      <c r="BE61" s="76" t="s">
        <v>153</v>
      </c>
      <c r="BF61" s="1725">
        <v>41</v>
      </c>
      <c r="BG61" s="35"/>
      <c r="BH61" s="75">
        <v>8</v>
      </c>
      <c r="BI61" s="76">
        <v>18950</v>
      </c>
      <c r="BJ61" s="76">
        <v>1</v>
      </c>
      <c r="BK61" s="1726">
        <v>16822</v>
      </c>
      <c r="BL61" s="76">
        <v>2</v>
      </c>
      <c r="BM61" s="76">
        <v>4</v>
      </c>
      <c r="BN61" s="76">
        <v>76185</v>
      </c>
      <c r="BO61" s="76">
        <v>3</v>
      </c>
      <c r="BP61" s="76">
        <v>4527</v>
      </c>
      <c r="BQ61" s="76">
        <v>5</v>
      </c>
      <c r="BR61" s="1725">
        <v>39</v>
      </c>
      <c r="BS61" s="35"/>
      <c r="BT61" s="80">
        <v>4</v>
      </c>
      <c r="BU61" s="380">
        <v>2987</v>
      </c>
      <c r="BV61" s="723"/>
      <c r="BW61" s="75" t="s">
        <v>153</v>
      </c>
      <c r="BX61" s="76" t="s">
        <v>153</v>
      </c>
      <c r="BY61" s="76" t="s">
        <v>153</v>
      </c>
      <c r="BZ61" s="79">
        <v>124</v>
      </c>
      <c r="CA61" s="76">
        <v>5959</v>
      </c>
      <c r="CB61" s="76">
        <v>5680</v>
      </c>
      <c r="CC61" s="79">
        <v>13</v>
      </c>
      <c r="CD61" s="76">
        <v>501</v>
      </c>
      <c r="CE61" s="1725">
        <v>476</v>
      </c>
      <c r="CF61" s="35"/>
      <c r="CG61" s="75">
        <v>464</v>
      </c>
      <c r="CH61" s="76">
        <v>83</v>
      </c>
      <c r="CI61" s="76">
        <v>19</v>
      </c>
      <c r="CJ61" s="76">
        <v>17</v>
      </c>
      <c r="CK61" s="76">
        <v>4</v>
      </c>
      <c r="CL61" s="1726">
        <v>5</v>
      </c>
      <c r="CM61" s="1726">
        <v>2</v>
      </c>
      <c r="CN61" s="76">
        <v>128</v>
      </c>
      <c r="CO61" s="1726">
        <v>28390</v>
      </c>
      <c r="CP61" s="1726">
        <v>248</v>
      </c>
      <c r="CQ61" s="1726">
        <v>390</v>
      </c>
      <c r="CR61" s="1725">
        <v>331</v>
      </c>
      <c r="CS61" s="35"/>
      <c r="CT61" s="627">
        <v>112</v>
      </c>
      <c r="CU61" s="1379">
        <v>20</v>
      </c>
      <c r="CV61" s="1379">
        <v>4</v>
      </c>
      <c r="CW61" s="1379">
        <v>58</v>
      </c>
      <c r="CX61" s="1379">
        <v>12</v>
      </c>
      <c r="CY61" s="1727">
        <v>18</v>
      </c>
      <c r="CZ61" s="1727" t="s">
        <v>153</v>
      </c>
      <c r="DA61" s="628">
        <v>1577680</v>
      </c>
      <c r="DB61" s="1380">
        <v>32134</v>
      </c>
    </row>
    <row r="62" spans="1:106" ht="15.75" customHeight="1">
      <c r="A62" s="236" t="s">
        <v>232</v>
      </c>
      <c r="B62" s="238">
        <v>1</v>
      </c>
      <c r="C62" s="245">
        <v>13</v>
      </c>
      <c r="D62" s="245">
        <v>5</v>
      </c>
      <c r="E62" s="245">
        <v>17</v>
      </c>
      <c r="F62" s="245">
        <v>14</v>
      </c>
      <c r="G62" s="245">
        <v>1420</v>
      </c>
      <c r="H62" s="245">
        <v>773</v>
      </c>
      <c r="I62" s="246">
        <v>234</v>
      </c>
      <c r="J62" s="238">
        <v>39</v>
      </c>
      <c r="K62" s="241">
        <v>14626</v>
      </c>
      <c r="L62" s="1720">
        <v>1151</v>
      </c>
      <c r="M62" s="241">
        <v>2</v>
      </c>
      <c r="N62" s="241">
        <v>979</v>
      </c>
      <c r="O62" s="241">
        <v>55</v>
      </c>
      <c r="P62" s="1720">
        <v>17</v>
      </c>
      <c r="Q62" s="241">
        <v>5531</v>
      </c>
      <c r="R62" s="241">
        <v>575</v>
      </c>
      <c r="S62" s="241">
        <v>9</v>
      </c>
      <c r="T62" s="241">
        <v>3460</v>
      </c>
      <c r="U62" s="1721">
        <v>251</v>
      </c>
      <c r="V62" s="245">
        <v>2</v>
      </c>
      <c r="W62" s="241">
        <v>190</v>
      </c>
      <c r="X62" s="241">
        <v>44</v>
      </c>
      <c r="Y62" s="241" t="s">
        <v>153</v>
      </c>
      <c r="Z62" s="241" t="s">
        <v>153</v>
      </c>
      <c r="AA62" s="241" t="s">
        <v>153</v>
      </c>
      <c r="AB62" s="241">
        <v>1</v>
      </c>
      <c r="AC62" s="241">
        <v>838</v>
      </c>
      <c r="AD62" s="241">
        <v>72</v>
      </c>
      <c r="AE62" s="241">
        <v>13</v>
      </c>
      <c r="AF62" s="241">
        <v>9204</v>
      </c>
      <c r="AG62" s="1720" t="s">
        <v>181</v>
      </c>
      <c r="AH62" s="238">
        <v>1</v>
      </c>
      <c r="AI62" s="241">
        <v>20</v>
      </c>
      <c r="AJ62" s="241">
        <v>8</v>
      </c>
      <c r="AK62" s="241">
        <v>5</v>
      </c>
      <c r="AL62" s="241">
        <v>1086</v>
      </c>
      <c r="AM62" s="1721" t="s">
        <v>181</v>
      </c>
      <c r="AN62" s="245" t="s">
        <v>153</v>
      </c>
      <c r="AO62" s="241" t="s">
        <v>153</v>
      </c>
      <c r="AP62" s="1720">
        <v>10</v>
      </c>
      <c r="AQ62" s="1720">
        <v>7</v>
      </c>
      <c r="AR62" s="241">
        <v>1168345</v>
      </c>
      <c r="AS62" s="476">
        <v>367.8</v>
      </c>
      <c r="AT62" s="272">
        <v>2501338</v>
      </c>
      <c r="AU62" s="1398" t="s">
        <v>153</v>
      </c>
      <c r="AV62" s="245">
        <v>12</v>
      </c>
      <c r="AW62" s="241">
        <v>1</v>
      </c>
      <c r="AX62" s="241">
        <v>1</v>
      </c>
      <c r="AY62" s="1720">
        <v>6</v>
      </c>
      <c r="AZ62" s="241">
        <v>1</v>
      </c>
      <c r="BA62" s="241" t="s">
        <v>153</v>
      </c>
      <c r="BB62" s="241">
        <v>1</v>
      </c>
      <c r="BC62" s="241">
        <v>1</v>
      </c>
      <c r="BD62" s="241" t="s">
        <v>153</v>
      </c>
      <c r="BE62" s="241">
        <v>1</v>
      </c>
      <c r="BF62" s="1721">
        <v>56</v>
      </c>
      <c r="BG62" s="35"/>
      <c r="BH62" s="238">
        <v>3</v>
      </c>
      <c r="BI62" s="241">
        <v>26943</v>
      </c>
      <c r="BJ62" s="241">
        <v>1</v>
      </c>
      <c r="BK62" s="1720">
        <v>39935</v>
      </c>
      <c r="BL62" s="241">
        <v>2</v>
      </c>
      <c r="BM62" s="241">
        <v>2</v>
      </c>
      <c r="BN62" s="241">
        <v>47200</v>
      </c>
      <c r="BO62" s="241">
        <v>4</v>
      </c>
      <c r="BP62" s="241">
        <v>3509</v>
      </c>
      <c r="BQ62" s="241">
        <v>3</v>
      </c>
      <c r="BR62" s="1721">
        <v>28</v>
      </c>
      <c r="BS62" s="35"/>
      <c r="BT62" s="687">
        <v>4</v>
      </c>
      <c r="BU62" s="688">
        <v>1085</v>
      </c>
      <c r="BV62" s="723"/>
      <c r="BW62" s="238">
        <v>80</v>
      </c>
      <c r="BX62" s="241">
        <v>4041</v>
      </c>
      <c r="BY62" s="241">
        <v>3654</v>
      </c>
      <c r="BZ62" s="245">
        <v>3</v>
      </c>
      <c r="CA62" s="241">
        <v>148</v>
      </c>
      <c r="CB62" s="241">
        <v>133</v>
      </c>
      <c r="CC62" s="245">
        <v>6</v>
      </c>
      <c r="CD62" s="241">
        <v>141</v>
      </c>
      <c r="CE62" s="1721">
        <v>121</v>
      </c>
      <c r="CF62" s="35"/>
      <c r="CG62" s="238">
        <v>360</v>
      </c>
      <c r="CH62" s="241">
        <v>70</v>
      </c>
      <c r="CI62" s="241">
        <v>17</v>
      </c>
      <c r="CJ62" s="241">
        <v>16</v>
      </c>
      <c r="CK62" s="241">
        <v>4</v>
      </c>
      <c r="CL62" s="1720" t="s">
        <v>148</v>
      </c>
      <c r="CM62" s="1720">
        <v>4</v>
      </c>
      <c r="CN62" s="241">
        <v>101</v>
      </c>
      <c r="CO62" s="1720">
        <v>20432</v>
      </c>
      <c r="CP62" s="1720">
        <v>83</v>
      </c>
      <c r="CQ62" s="1720">
        <v>179</v>
      </c>
      <c r="CR62" s="1721">
        <v>276</v>
      </c>
      <c r="CS62" s="35"/>
      <c r="CT62" s="554">
        <v>190</v>
      </c>
      <c r="CU62" s="1539">
        <v>10</v>
      </c>
      <c r="CV62" s="1539">
        <v>4</v>
      </c>
      <c r="CW62" s="1539">
        <v>150</v>
      </c>
      <c r="CX62" s="1539">
        <v>14</v>
      </c>
      <c r="CY62" s="1722">
        <v>12</v>
      </c>
      <c r="CZ62" s="1722" t="s">
        <v>153</v>
      </c>
      <c r="DA62" s="555">
        <v>1320181</v>
      </c>
      <c r="DB62" s="1431">
        <v>31143</v>
      </c>
    </row>
    <row r="63" spans="1:106" ht="15.75" customHeight="1">
      <c r="A63" s="320" t="s">
        <v>234</v>
      </c>
      <c r="B63" s="75" t="s">
        <v>153</v>
      </c>
      <c r="C63" s="79" t="s">
        <v>153</v>
      </c>
      <c r="D63" s="79" t="s">
        <v>153</v>
      </c>
      <c r="E63" s="113">
        <v>10</v>
      </c>
      <c r="F63" s="79">
        <v>10</v>
      </c>
      <c r="G63" s="113">
        <v>1466</v>
      </c>
      <c r="H63" s="79">
        <v>325</v>
      </c>
      <c r="I63" s="119">
        <v>167</v>
      </c>
      <c r="J63" s="103">
        <v>44</v>
      </c>
      <c r="K63" s="105">
        <v>17102</v>
      </c>
      <c r="L63" s="1723">
        <v>1131</v>
      </c>
      <c r="M63" s="105">
        <v>1</v>
      </c>
      <c r="N63" s="689">
        <v>419</v>
      </c>
      <c r="O63" s="689">
        <v>18</v>
      </c>
      <c r="P63" s="1723">
        <v>17</v>
      </c>
      <c r="Q63" s="105">
        <v>7600</v>
      </c>
      <c r="R63" s="105">
        <v>551</v>
      </c>
      <c r="S63" s="105">
        <v>3</v>
      </c>
      <c r="T63" s="689">
        <v>1115</v>
      </c>
      <c r="U63" s="1558">
        <v>60</v>
      </c>
      <c r="V63" s="79" t="s">
        <v>153</v>
      </c>
      <c r="W63" s="76" t="s">
        <v>153</v>
      </c>
      <c r="X63" s="76" t="s">
        <v>153</v>
      </c>
      <c r="Y63" s="76" t="s">
        <v>153</v>
      </c>
      <c r="Z63" s="76" t="s">
        <v>153</v>
      </c>
      <c r="AA63" s="76" t="s">
        <v>153</v>
      </c>
      <c r="AB63" s="105">
        <v>2</v>
      </c>
      <c r="AC63" s="105">
        <v>1424</v>
      </c>
      <c r="AD63" s="105">
        <v>142</v>
      </c>
      <c r="AE63" s="628">
        <v>10</v>
      </c>
      <c r="AF63" s="689">
        <v>5859</v>
      </c>
      <c r="AG63" s="1558">
        <v>424</v>
      </c>
      <c r="AH63" s="75" t="s">
        <v>153</v>
      </c>
      <c r="AI63" s="76" t="s">
        <v>153</v>
      </c>
      <c r="AJ63" s="76" t="s">
        <v>153</v>
      </c>
      <c r="AK63" s="105">
        <v>2</v>
      </c>
      <c r="AL63" s="689">
        <v>116</v>
      </c>
      <c r="AM63" s="1558">
        <v>17</v>
      </c>
      <c r="AN63" s="79" t="s">
        <v>153</v>
      </c>
      <c r="AO63" s="76" t="s">
        <v>153</v>
      </c>
      <c r="AP63" s="1723">
        <v>3</v>
      </c>
      <c r="AQ63" s="1723">
        <v>6</v>
      </c>
      <c r="AR63" s="105">
        <v>872847</v>
      </c>
      <c r="AS63" s="474">
        <v>289</v>
      </c>
      <c r="AT63" s="105">
        <v>1388522</v>
      </c>
      <c r="AU63" s="184" t="s">
        <v>153</v>
      </c>
      <c r="AV63" s="633" t="s">
        <v>153</v>
      </c>
      <c r="AW63" s="628" t="s">
        <v>153</v>
      </c>
      <c r="AX63" s="628" t="s">
        <v>153</v>
      </c>
      <c r="AY63" s="1379" t="s">
        <v>153</v>
      </c>
      <c r="AZ63" s="689">
        <v>1</v>
      </c>
      <c r="BA63" s="628" t="s">
        <v>153</v>
      </c>
      <c r="BB63" s="628" t="s">
        <v>153</v>
      </c>
      <c r="BC63" s="628" t="s">
        <v>153</v>
      </c>
      <c r="BD63" s="628" t="s">
        <v>153</v>
      </c>
      <c r="BE63" s="628" t="s">
        <v>153</v>
      </c>
      <c r="BF63" s="1380" t="s">
        <v>153</v>
      </c>
      <c r="BG63" s="35"/>
      <c r="BH63" s="690">
        <v>13</v>
      </c>
      <c r="BI63" s="689">
        <v>21966</v>
      </c>
      <c r="BJ63" s="689" t="s">
        <v>148</v>
      </c>
      <c r="BK63" s="1556" t="s">
        <v>148</v>
      </c>
      <c r="BL63" s="689">
        <v>3</v>
      </c>
      <c r="BM63" s="689">
        <v>4</v>
      </c>
      <c r="BN63" s="689">
        <v>65321</v>
      </c>
      <c r="BO63" s="689">
        <v>1</v>
      </c>
      <c r="BP63" s="689">
        <v>395</v>
      </c>
      <c r="BQ63" s="689">
        <v>6</v>
      </c>
      <c r="BR63" s="1558">
        <v>21</v>
      </c>
      <c r="BS63" s="35"/>
      <c r="BT63" s="117">
        <v>9</v>
      </c>
      <c r="BU63" s="691">
        <v>2591</v>
      </c>
      <c r="BV63" s="723"/>
      <c r="BW63" s="75" t="s">
        <v>153</v>
      </c>
      <c r="BX63" s="76" t="s">
        <v>153</v>
      </c>
      <c r="BY63" s="76" t="s">
        <v>153</v>
      </c>
      <c r="BZ63" s="113">
        <v>96</v>
      </c>
      <c r="CA63" s="105">
        <v>3940</v>
      </c>
      <c r="CB63" s="105">
        <v>4261</v>
      </c>
      <c r="CC63" s="113">
        <v>3</v>
      </c>
      <c r="CD63" s="105">
        <v>95</v>
      </c>
      <c r="CE63" s="1724">
        <v>71</v>
      </c>
      <c r="CF63" s="35"/>
      <c r="CG63" s="103">
        <v>314</v>
      </c>
      <c r="CH63" s="76">
        <v>32</v>
      </c>
      <c r="CI63" s="105">
        <v>12</v>
      </c>
      <c r="CJ63" s="105">
        <v>12</v>
      </c>
      <c r="CK63" s="105">
        <v>3</v>
      </c>
      <c r="CL63" s="1726" t="s">
        <v>153</v>
      </c>
      <c r="CM63" s="1723">
        <v>4</v>
      </c>
      <c r="CN63" s="105">
        <v>89</v>
      </c>
      <c r="CO63" s="1723">
        <v>16283</v>
      </c>
      <c r="CP63" s="1723">
        <v>205</v>
      </c>
      <c r="CQ63" s="1723">
        <v>11</v>
      </c>
      <c r="CR63" s="1724">
        <v>142</v>
      </c>
      <c r="CS63" s="35"/>
      <c r="CT63" s="690">
        <f>SUM(CU63:CZ63)</f>
        <v>408</v>
      </c>
      <c r="CU63" s="1556">
        <v>44</v>
      </c>
      <c r="CV63" s="1556">
        <v>4</v>
      </c>
      <c r="CW63" s="1556">
        <v>334</v>
      </c>
      <c r="CX63" s="1556">
        <v>19</v>
      </c>
      <c r="CY63" s="1733">
        <v>7</v>
      </c>
      <c r="CZ63" s="1727" t="s">
        <v>153</v>
      </c>
      <c r="DA63" s="689">
        <v>1002531</v>
      </c>
      <c r="DB63" s="1558">
        <v>79795</v>
      </c>
    </row>
    <row r="64" spans="1:106" ht="15.75" customHeight="1">
      <c r="A64" s="236" t="s">
        <v>236</v>
      </c>
      <c r="B64" s="234">
        <v>1</v>
      </c>
      <c r="C64" s="241">
        <v>6</v>
      </c>
      <c r="D64" s="241">
        <v>3</v>
      </c>
      <c r="E64" s="241">
        <f>1+28</f>
        <v>29</v>
      </c>
      <c r="F64" s="241">
        <v>18</v>
      </c>
      <c r="G64" s="241">
        <f>94+1932</f>
        <v>2026</v>
      </c>
      <c r="H64" s="241">
        <v>1667</v>
      </c>
      <c r="I64" s="1721">
        <f>7+259</f>
        <v>266</v>
      </c>
      <c r="J64" s="238">
        <v>68</v>
      </c>
      <c r="K64" s="241">
        <v>18165</v>
      </c>
      <c r="L64" s="1720">
        <v>1325</v>
      </c>
      <c r="M64" s="241">
        <f>1+4</f>
        <v>5</v>
      </c>
      <c r="N64" s="241">
        <f>564+638</f>
        <v>1202</v>
      </c>
      <c r="O64" s="241">
        <f>30+55</f>
        <v>85</v>
      </c>
      <c r="P64" s="1720">
        <f>38-1</f>
        <v>37</v>
      </c>
      <c r="Q64" s="1720">
        <f>8791-359</f>
        <v>8432</v>
      </c>
      <c r="R64" s="1720">
        <f>757-21</f>
        <v>736</v>
      </c>
      <c r="S64" s="1720">
        <f>1+10+1</f>
        <v>12</v>
      </c>
      <c r="T64" s="1720">
        <f>426+740+359</f>
        <v>1525</v>
      </c>
      <c r="U64" s="1721">
        <f>26+76+21</f>
        <v>123</v>
      </c>
      <c r="V64" s="245" t="s">
        <v>153</v>
      </c>
      <c r="W64" s="241" t="s">
        <v>153</v>
      </c>
      <c r="X64" s="241" t="s">
        <v>153</v>
      </c>
      <c r="Y64" s="241" t="s">
        <v>153</v>
      </c>
      <c r="Z64" s="241" t="s">
        <v>153</v>
      </c>
      <c r="AA64" s="241" t="s">
        <v>153</v>
      </c>
      <c r="AB64" s="241">
        <v>1</v>
      </c>
      <c r="AC64" s="241">
        <v>707</v>
      </c>
      <c r="AD64" s="1720">
        <v>58</v>
      </c>
      <c r="AE64" s="241">
        <v>18</v>
      </c>
      <c r="AF64" s="241">
        <v>9406</v>
      </c>
      <c r="AG64" s="246">
        <v>789</v>
      </c>
      <c r="AH64" s="238" t="s">
        <v>153</v>
      </c>
      <c r="AI64" s="241" t="s">
        <v>153</v>
      </c>
      <c r="AJ64" s="1720" t="s">
        <v>153</v>
      </c>
      <c r="AK64" s="1720">
        <v>3</v>
      </c>
      <c r="AL64" s="1720">
        <v>1258</v>
      </c>
      <c r="AM64" s="1721">
        <v>101</v>
      </c>
      <c r="AN64" s="598" t="s">
        <v>153</v>
      </c>
      <c r="AO64" s="241" t="s">
        <v>153</v>
      </c>
      <c r="AP64" s="241">
        <v>3</v>
      </c>
      <c r="AQ64" s="1720">
        <v>2</v>
      </c>
      <c r="AR64" s="241">
        <v>1355723</v>
      </c>
      <c r="AS64" s="476">
        <v>340</v>
      </c>
      <c r="AT64" s="692">
        <v>1694836</v>
      </c>
      <c r="AU64" s="693">
        <v>12115</v>
      </c>
      <c r="AV64" s="245">
        <v>31</v>
      </c>
      <c r="AW64" s="241">
        <v>1</v>
      </c>
      <c r="AX64" s="241">
        <v>1</v>
      </c>
      <c r="AY64" s="1720">
        <v>23</v>
      </c>
      <c r="AZ64" s="241">
        <v>5</v>
      </c>
      <c r="BA64" s="241" t="s">
        <v>153</v>
      </c>
      <c r="BB64" s="241" t="s">
        <v>153</v>
      </c>
      <c r="BC64" s="241" t="s">
        <v>153</v>
      </c>
      <c r="BD64" s="241" t="s">
        <v>153</v>
      </c>
      <c r="BE64" s="241">
        <v>1</v>
      </c>
      <c r="BF64" s="1721">
        <v>17</v>
      </c>
      <c r="BG64" s="35"/>
      <c r="BH64" s="238">
        <v>8</v>
      </c>
      <c r="BI64" s="241">
        <v>21587</v>
      </c>
      <c r="BJ64" s="241">
        <v>3</v>
      </c>
      <c r="BK64" s="1720">
        <v>102477</v>
      </c>
      <c r="BL64" s="241">
        <v>1</v>
      </c>
      <c r="BM64" s="241">
        <v>1</v>
      </c>
      <c r="BN64" s="241">
        <v>22000</v>
      </c>
      <c r="BO64" s="241">
        <v>5</v>
      </c>
      <c r="BP64" s="241">
        <v>5172</v>
      </c>
      <c r="BQ64" s="241">
        <v>10</v>
      </c>
      <c r="BR64" s="1721">
        <v>52</v>
      </c>
      <c r="BS64" s="35"/>
      <c r="BT64" s="247">
        <v>2</v>
      </c>
      <c r="BU64" s="248">
        <v>2979</v>
      </c>
      <c r="BV64" s="728"/>
      <c r="BW64" s="238" t="s">
        <v>153</v>
      </c>
      <c r="BX64" s="241" t="s">
        <v>153</v>
      </c>
      <c r="BY64" s="241" t="s">
        <v>153</v>
      </c>
      <c r="BZ64" s="245" t="s">
        <v>153</v>
      </c>
      <c r="CA64" s="241" t="s">
        <v>153</v>
      </c>
      <c r="CB64" s="241" t="s">
        <v>153</v>
      </c>
      <c r="CC64" s="245">
        <v>95</v>
      </c>
      <c r="CD64" s="241">
        <v>6917</v>
      </c>
      <c r="CE64" s="1721">
        <v>6588</v>
      </c>
      <c r="CF64" s="35"/>
      <c r="CG64" s="234">
        <v>497</v>
      </c>
      <c r="CH64" s="241">
        <v>73</v>
      </c>
      <c r="CI64" s="241">
        <v>19</v>
      </c>
      <c r="CJ64" s="241">
        <v>18</v>
      </c>
      <c r="CK64" s="241">
        <v>3</v>
      </c>
      <c r="CL64" s="241" t="s">
        <v>153</v>
      </c>
      <c r="CM64" s="598">
        <v>18</v>
      </c>
      <c r="CN64" s="241">
        <v>88</v>
      </c>
      <c r="CO64" s="1720">
        <v>25817</v>
      </c>
      <c r="CP64" s="1720">
        <v>176</v>
      </c>
      <c r="CQ64" s="1720">
        <v>236</v>
      </c>
      <c r="CR64" s="1721">
        <v>265</v>
      </c>
      <c r="CS64" s="35"/>
      <c r="CT64" s="556">
        <f>SUM(CU64:CZ64)</f>
        <v>221</v>
      </c>
      <c r="CU64" s="555">
        <v>16</v>
      </c>
      <c r="CV64" s="555">
        <v>3</v>
      </c>
      <c r="CW64" s="555">
        <v>129</v>
      </c>
      <c r="CX64" s="555">
        <v>55</v>
      </c>
      <c r="CY64" s="809">
        <v>18</v>
      </c>
      <c r="CZ64" s="809" t="s">
        <v>153</v>
      </c>
      <c r="DA64" s="555">
        <v>1873845</v>
      </c>
      <c r="DB64" s="1431">
        <v>174590</v>
      </c>
    </row>
    <row r="65" spans="1:106" ht="15.75" customHeight="1">
      <c r="A65" s="320" t="s">
        <v>279</v>
      </c>
      <c r="B65" s="110">
        <v>1</v>
      </c>
      <c r="C65" s="105">
        <v>17</v>
      </c>
      <c r="D65" s="105">
        <v>8</v>
      </c>
      <c r="E65" s="105">
        <v>6</v>
      </c>
      <c r="F65" s="105">
        <v>3</v>
      </c>
      <c r="G65" s="105">
        <v>400</v>
      </c>
      <c r="H65" s="105">
        <v>240</v>
      </c>
      <c r="I65" s="1724">
        <v>82</v>
      </c>
      <c r="J65" s="103">
        <v>44</v>
      </c>
      <c r="K65" s="105">
        <v>12895</v>
      </c>
      <c r="L65" s="1723">
        <v>887</v>
      </c>
      <c r="M65" s="1723">
        <v>1</v>
      </c>
      <c r="N65" s="105">
        <v>98</v>
      </c>
      <c r="O65" s="105">
        <v>14</v>
      </c>
      <c r="P65" s="1723">
        <v>24</v>
      </c>
      <c r="Q65" s="1723" t="s">
        <v>181</v>
      </c>
      <c r="R65" s="105" t="s">
        <v>181</v>
      </c>
      <c r="S65" s="105">
        <v>3</v>
      </c>
      <c r="T65" s="105" t="s">
        <v>181</v>
      </c>
      <c r="U65" s="1724" t="s">
        <v>181</v>
      </c>
      <c r="V65" s="113">
        <v>2</v>
      </c>
      <c r="W65" s="105">
        <v>47</v>
      </c>
      <c r="X65" s="113">
        <v>25</v>
      </c>
      <c r="Y65" s="105" t="s">
        <v>153</v>
      </c>
      <c r="Z65" s="105" t="s">
        <v>153</v>
      </c>
      <c r="AA65" s="113" t="s">
        <v>153</v>
      </c>
      <c r="AB65" s="105" t="s">
        <v>148</v>
      </c>
      <c r="AC65" s="105" t="s">
        <v>148</v>
      </c>
      <c r="AD65" s="894" t="s">
        <v>148</v>
      </c>
      <c r="AE65" s="105">
        <v>12</v>
      </c>
      <c r="AF65" s="105">
        <v>5977</v>
      </c>
      <c r="AG65" s="1724">
        <v>487</v>
      </c>
      <c r="AH65" s="103" t="s">
        <v>153</v>
      </c>
      <c r="AI65" s="105" t="s">
        <v>153</v>
      </c>
      <c r="AJ65" s="105" t="s">
        <v>153</v>
      </c>
      <c r="AK65" s="105">
        <v>2</v>
      </c>
      <c r="AL65" s="105">
        <v>264</v>
      </c>
      <c r="AM65" s="1724">
        <v>55</v>
      </c>
      <c r="AN65" s="79" t="s">
        <v>153</v>
      </c>
      <c r="AO65" s="76" t="s">
        <v>153</v>
      </c>
      <c r="AP65" s="105">
        <v>1</v>
      </c>
      <c r="AQ65" s="1726">
        <v>1</v>
      </c>
      <c r="AR65" s="76">
        <v>540764</v>
      </c>
      <c r="AS65" s="74">
        <v>231.041</v>
      </c>
      <c r="AT65" s="76">
        <v>838472</v>
      </c>
      <c r="AU65" s="184">
        <v>10259</v>
      </c>
      <c r="AV65" s="79">
        <v>3</v>
      </c>
      <c r="AW65" s="105">
        <v>1</v>
      </c>
      <c r="AX65" s="105" t="s">
        <v>153</v>
      </c>
      <c r="AY65" s="105" t="s">
        <v>153</v>
      </c>
      <c r="AZ65" s="105" t="s">
        <v>153</v>
      </c>
      <c r="BA65" s="105" t="s">
        <v>153</v>
      </c>
      <c r="BB65" s="76" t="s">
        <v>153</v>
      </c>
      <c r="BC65" s="76" t="s">
        <v>153</v>
      </c>
      <c r="BD65" s="76">
        <v>1</v>
      </c>
      <c r="BE65" s="76">
        <v>1</v>
      </c>
      <c r="BF65" s="1725" t="s">
        <v>153</v>
      </c>
      <c r="BG65" s="35"/>
      <c r="BH65" s="110">
        <v>7</v>
      </c>
      <c r="BI65" s="105">
        <v>34567.83</v>
      </c>
      <c r="BJ65" s="105">
        <v>2</v>
      </c>
      <c r="BK65" s="105">
        <v>51441.36</v>
      </c>
      <c r="BL65" s="105">
        <v>5</v>
      </c>
      <c r="BM65" s="105">
        <v>5</v>
      </c>
      <c r="BN65" s="105">
        <v>63682.77</v>
      </c>
      <c r="BO65" s="105">
        <v>3</v>
      </c>
      <c r="BP65" s="105">
        <v>3935</v>
      </c>
      <c r="BQ65" s="105">
        <v>7</v>
      </c>
      <c r="BR65" s="119">
        <v>36</v>
      </c>
      <c r="BS65" s="35"/>
      <c r="BT65" s="203">
        <v>3</v>
      </c>
      <c r="BU65" s="1743" t="s">
        <v>153</v>
      </c>
      <c r="BV65" s="723"/>
      <c r="BW65" s="70" t="s">
        <v>153</v>
      </c>
      <c r="BX65" s="76" t="s">
        <v>153</v>
      </c>
      <c r="BY65" s="76" t="s">
        <v>153</v>
      </c>
      <c r="BZ65" s="76">
        <v>73</v>
      </c>
      <c r="CA65" s="76">
        <v>2986</v>
      </c>
      <c r="CB65" s="76">
        <v>2615</v>
      </c>
      <c r="CC65" s="76" t="s">
        <v>153</v>
      </c>
      <c r="CD65" s="76" t="s">
        <v>153</v>
      </c>
      <c r="CE65" s="184" t="s">
        <v>153</v>
      </c>
      <c r="CF65" s="35"/>
      <c r="CG65" s="110">
        <v>371</v>
      </c>
      <c r="CH65" s="105">
        <v>62</v>
      </c>
      <c r="CI65" s="105">
        <v>21</v>
      </c>
      <c r="CJ65" s="105">
        <v>20</v>
      </c>
      <c r="CK65" s="105">
        <v>3</v>
      </c>
      <c r="CL65" s="76" t="s">
        <v>153</v>
      </c>
      <c r="CM65" s="105">
        <v>13</v>
      </c>
      <c r="CN65" s="105">
        <v>112</v>
      </c>
      <c r="CO65" s="1723">
        <v>17558</v>
      </c>
      <c r="CP65" s="1723">
        <v>113</v>
      </c>
      <c r="CQ65" s="1723">
        <v>270</v>
      </c>
      <c r="CR65" s="1724">
        <v>145</v>
      </c>
      <c r="CS65" s="35"/>
      <c r="CT65" s="869">
        <v>62</v>
      </c>
      <c r="CU65" s="689">
        <v>20</v>
      </c>
      <c r="CV65" s="689">
        <v>5</v>
      </c>
      <c r="CW65" s="689">
        <v>14</v>
      </c>
      <c r="CX65" s="689">
        <v>5</v>
      </c>
      <c r="CY65" s="689">
        <v>18</v>
      </c>
      <c r="CZ65" s="628" t="s">
        <v>153</v>
      </c>
      <c r="DA65" s="689">
        <v>1176149</v>
      </c>
      <c r="DB65" s="1558">
        <v>93734</v>
      </c>
    </row>
    <row r="66" spans="1:106" ht="15.75" customHeight="1">
      <c r="A66" s="236" t="s">
        <v>238</v>
      </c>
      <c r="B66" s="146">
        <v>15</v>
      </c>
      <c r="C66" s="141">
        <v>256</v>
      </c>
      <c r="D66" s="141">
        <v>59</v>
      </c>
      <c r="E66" s="141">
        <v>24</v>
      </c>
      <c r="F66" s="141">
        <v>12</v>
      </c>
      <c r="G66" s="141">
        <v>3497</v>
      </c>
      <c r="H66" s="141">
        <v>513</v>
      </c>
      <c r="I66" s="1712">
        <v>313</v>
      </c>
      <c r="J66" s="140">
        <v>54</v>
      </c>
      <c r="K66" s="141">
        <v>25114</v>
      </c>
      <c r="L66" s="1713">
        <v>1521</v>
      </c>
      <c r="M66" s="141">
        <v>1</v>
      </c>
      <c r="N66" s="141">
        <v>612</v>
      </c>
      <c r="O66" s="141">
        <v>27</v>
      </c>
      <c r="P66" s="1713">
        <v>28</v>
      </c>
      <c r="Q66" s="1713">
        <v>12101</v>
      </c>
      <c r="R66" s="1713">
        <v>876</v>
      </c>
      <c r="S66" s="1713">
        <v>5</v>
      </c>
      <c r="T66" s="1713">
        <v>1318</v>
      </c>
      <c r="U66" s="1712">
        <v>161</v>
      </c>
      <c r="V66" s="153">
        <v>1</v>
      </c>
      <c r="W66" s="141">
        <v>972</v>
      </c>
      <c r="X66" s="141">
        <v>73</v>
      </c>
      <c r="Y66" s="241" t="s">
        <v>153</v>
      </c>
      <c r="Z66" s="241" t="s">
        <v>153</v>
      </c>
      <c r="AA66" s="241" t="s">
        <v>153</v>
      </c>
      <c r="AB66" s="241" t="s">
        <v>153</v>
      </c>
      <c r="AC66" s="241" t="s">
        <v>153</v>
      </c>
      <c r="AD66" s="1720" t="s">
        <v>153</v>
      </c>
      <c r="AE66" s="141">
        <v>18</v>
      </c>
      <c r="AF66" s="141">
        <v>13552</v>
      </c>
      <c r="AG66" s="147">
        <v>1328</v>
      </c>
      <c r="AH66" s="238" t="s">
        <v>153</v>
      </c>
      <c r="AI66" s="241" t="s">
        <v>153</v>
      </c>
      <c r="AJ66" s="1720" t="s">
        <v>153</v>
      </c>
      <c r="AK66" s="1713">
        <v>2</v>
      </c>
      <c r="AL66" s="1713">
        <v>1322</v>
      </c>
      <c r="AM66" s="1712">
        <v>113</v>
      </c>
      <c r="AN66" s="598" t="s">
        <v>153</v>
      </c>
      <c r="AO66" s="241" t="s">
        <v>153</v>
      </c>
      <c r="AP66" s="141">
        <v>6</v>
      </c>
      <c r="AQ66" s="1713">
        <v>2</v>
      </c>
      <c r="AR66" s="141">
        <v>820419</v>
      </c>
      <c r="AS66" s="475">
        <v>172.6</v>
      </c>
      <c r="AT66" s="472">
        <v>1423483</v>
      </c>
      <c r="AU66" s="471">
        <v>6</v>
      </c>
      <c r="AV66" s="153">
        <v>13</v>
      </c>
      <c r="AW66" s="141" t="s">
        <v>148</v>
      </c>
      <c r="AX66" s="141">
        <v>1</v>
      </c>
      <c r="AY66" s="1713">
        <v>7</v>
      </c>
      <c r="AZ66" s="141">
        <v>3</v>
      </c>
      <c r="BA66" s="141" t="s">
        <v>148</v>
      </c>
      <c r="BB66" s="141">
        <v>1</v>
      </c>
      <c r="BC66" s="141" t="s">
        <v>148</v>
      </c>
      <c r="BD66" s="141" t="s">
        <v>148</v>
      </c>
      <c r="BE66" s="141">
        <v>1</v>
      </c>
      <c r="BF66" s="1712">
        <v>13</v>
      </c>
      <c r="BG66" s="35"/>
      <c r="BH66" s="140">
        <v>6</v>
      </c>
      <c r="BI66" s="141">
        <v>19329</v>
      </c>
      <c r="BJ66" s="141">
        <v>1</v>
      </c>
      <c r="BK66" s="1713">
        <v>29905</v>
      </c>
      <c r="BL66" s="141">
        <v>6</v>
      </c>
      <c r="BM66" s="141">
        <v>9</v>
      </c>
      <c r="BN66" s="141">
        <v>74217</v>
      </c>
      <c r="BO66" s="141">
        <v>3</v>
      </c>
      <c r="BP66" s="141">
        <v>2365</v>
      </c>
      <c r="BQ66" s="141">
        <v>10</v>
      </c>
      <c r="BR66" s="1712">
        <v>43</v>
      </c>
      <c r="BS66" s="35"/>
      <c r="BT66" s="160">
        <v>3</v>
      </c>
      <c r="BU66" s="161">
        <v>1201</v>
      </c>
      <c r="BV66" s="728"/>
      <c r="BW66" s="238" t="s">
        <v>153</v>
      </c>
      <c r="BX66" s="241" t="s">
        <v>153</v>
      </c>
      <c r="BY66" s="241" t="s">
        <v>153</v>
      </c>
      <c r="BZ66" s="153">
        <v>54</v>
      </c>
      <c r="CA66" s="141">
        <v>6258</v>
      </c>
      <c r="CB66" s="141">
        <v>4729</v>
      </c>
      <c r="CC66" s="153">
        <v>16</v>
      </c>
      <c r="CD66" s="141">
        <v>891</v>
      </c>
      <c r="CE66" s="1712">
        <v>834</v>
      </c>
      <c r="CF66" s="35"/>
      <c r="CG66" s="146">
        <v>497</v>
      </c>
      <c r="CH66" s="141">
        <v>63</v>
      </c>
      <c r="CI66" s="141">
        <v>16</v>
      </c>
      <c r="CJ66" s="141">
        <v>16</v>
      </c>
      <c r="CK66" s="141">
        <v>3</v>
      </c>
      <c r="CL66" s="141">
        <v>2</v>
      </c>
      <c r="CM66" s="157">
        <v>9</v>
      </c>
      <c r="CN66" s="141">
        <v>137</v>
      </c>
      <c r="CO66" s="1713">
        <v>21800</v>
      </c>
      <c r="CP66" s="1713">
        <v>197</v>
      </c>
      <c r="CQ66" s="1713">
        <v>115</v>
      </c>
      <c r="CR66" s="1712">
        <v>123</v>
      </c>
      <c r="CS66" s="35"/>
      <c r="CT66" s="812">
        <v>13</v>
      </c>
      <c r="CU66" s="577">
        <v>4</v>
      </c>
      <c r="CV66" s="577" t="s">
        <v>148</v>
      </c>
      <c r="CW66" s="577">
        <v>1</v>
      </c>
      <c r="CX66" s="577">
        <v>6</v>
      </c>
      <c r="CY66" s="813">
        <v>2</v>
      </c>
      <c r="CZ66" s="813" t="s">
        <v>148</v>
      </c>
      <c r="DA66" s="577">
        <v>1333738</v>
      </c>
      <c r="DB66" s="1442">
        <v>31675</v>
      </c>
    </row>
    <row r="67" spans="1:106" ht="15.75" customHeight="1">
      <c r="A67" s="320" t="s">
        <v>239</v>
      </c>
      <c r="B67" s="534">
        <v>1</v>
      </c>
      <c r="C67" s="565">
        <v>11</v>
      </c>
      <c r="D67" s="565">
        <v>5</v>
      </c>
      <c r="E67" s="565">
        <v>17</v>
      </c>
      <c r="F67" s="565">
        <v>16</v>
      </c>
      <c r="G67" s="530">
        <v>957</v>
      </c>
      <c r="H67" s="530">
        <v>861</v>
      </c>
      <c r="I67" s="1741">
        <v>273</v>
      </c>
      <c r="J67" s="501">
        <v>47</v>
      </c>
      <c r="K67" s="530">
        <v>22182</v>
      </c>
      <c r="L67" s="1715">
        <v>1476</v>
      </c>
      <c r="M67" s="1715">
        <v>1</v>
      </c>
      <c r="N67" s="530">
        <v>611</v>
      </c>
      <c r="O67" s="530">
        <v>32</v>
      </c>
      <c r="P67" s="1715">
        <v>25</v>
      </c>
      <c r="Q67" s="1715">
        <v>9893</v>
      </c>
      <c r="R67" s="530">
        <v>791</v>
      </c>
      <c r="S67" s="530">
        <v>8</v>
      </c>
      <c r="T67" s="530">
        <v>2420</v>
      </c>
      <c r="U67" s="1716">
        <v>202</v>
      </c>
      <c r="V67" s="606" t="s">
        <v>148</v>
      </c>
      <c r="W67" s="530" t="s">
        <v>148</v>
      </c>
      <c r="X67" s="606" t="s">
        <v>148</v>
      </c>
      <c r="Y67" s="530" t="s">
        <v>148</v>
      </c>
      <c r="Z67" s="530" t="s">
        <v>148</v>
      </c>
      <c r="AA67" s="606" t="s">
        <v>148</v>
      </c>
      <c r="AB67" s="530" t="s">
        <v>148</v>
      </c>
      <c r="AC67" s="530" t="s">
        <v>148</v>
      </c>
      <c r="AD67" s="895" t="s">
        <v>148</v>
      </c>
      <c r="AE67" s="530">
        <v>15</v>
      </c>
      <c r="AF67" s="530">
        <v>13019</v>
      </c>
      <c r="AG67" s="1716">
        <v>1232</v>
      </c>
      <c r="AH67" s="501" t="s">
        <v>148</v>
      </c>
      <c r="AI67" s="530" t="s">
        <v>148</v>
      </c>
      <c r="AJ67" s="530" t="s">
        <v>148</v>
      </c>
      <c r="AK67" s="530">
        <v>2</v>
      </c>
      <c r="AL67" s="530">
        <v>287</v>
      </c>
      <c r="AM67" s="1716">
        <v>91</v>
      </c>
      <c r="AN67" s="567" t="s">
        <v>153</v>
      </c>
      <c r="AO67" s="530">
        <v>1</v>
      </c>
      <c r="AP67" s="530">
        <v>5</v>
      </c>
      <c r="AQ67" s="1717">
        <v>2</v>
      </c>
      <c r="AR67" s="565">
        <v>789443</v>
      </c>
      <c r="AS67" s="565">
        <v>198.4</v>
      </c>
      <c r="AT67" s="565">
        <v>869958</v>
      </c>
      <c r="AU67" s="590" t="s">
        <v>153</v>
      </c>
      <c r="AV67" s="606">
        <v>13</v>
      </c>
      <c r="AW67" s="530">
        <v>1</v>
      </c>
      <c r="AX67" s="530">
        <v>1</v>
      </c>
      <c r="AY67" s="530">
        <v>5</v>
      </c>
      <c r="AZ67" s="530">
        <v>2</v>
      </c>
      <c r="BA67" s="530" t="s">
        <v>148</v>
      </c>
      <c r="BB67" s="530">
        <v>1</v>
      </c>
      <c r="BC67" s="530">
        <v>2</v>
      </c>
      <c r="BD67" s="530">
        <v>1</v>
      </c>
      <c r="BE67" s="530" t="s">
        <v>148</v>
      </c>
      <c r="BF67" s="1716">
        <v>14</v>
      </c>
      <c r="BG67" s="532"/>
      <c r="BH67" s="531">
        <v>19</v>
      </c>
      <c r="BI67" s="530">
        <v>38733</v>
      </c>
      <c r="BJ67" s="530">
        <v>2</v>
      </c>
      <c r="BK67" s="530">
        <v>64590</v>
      </c>
      <c r="BL67" s="530">
        <v>6</v>
      </c>
      <c r="BM67" s="530">
        <v>8</v>
      </c>
      <c r="BN67" s="530">
        <v>169830</v>
      </c>
      <c r="BO67" s="530">
        <v>2</v>
      </c>
      <c r="BP67" s="530">
        <v>800</v>
      </c>
      <c r="BQ67" s="530">
        <v>12</v>
      </c>
      <c r="BR67" s="568">
        <v>64</v>
      </c>
      <c r="BS67" s="532"/>
      <c r="BT67" s="697">
        <v>4</v>
      </c>
      <c r="BU67" s="1744">
        <v>1867</v>
      </c>
      <c r="BV67" s="724"/>
      <c r="BW67" s="534" t="s">
        <v>153</v>
      </c>
      <c r="BX67" s="565" t="s">
        <v>153</v>
      </c>
      <c r="BY67" s="565" t="s">
        <v>153</v>
      </c>
      <c r="BZ67" s="565">
        <v>47</v>
      </c>
      <c r="CA67" s="565">
        <v>3882</v>
      </c>
      <c r="CB67" s="565">
        <v>4270</v>
      </c>
      <c r="CC67" s="565">
        <v>12</v>
      </c>
      <c r="CD67" s="565">
        <v>365</v>
      </c>
      <c r="CE67" s="590">
        <v>354</v>
      </c>
      <c r="CF67" s="532"/>
      <c r="CG67" s="531">
        <v>342</v>
      </c>
      <c r="CH67" s="565">
        <v>69</v>
      </c>
      <c r="CI67" s="565">
        <v>14</v>
      </c>
      <c r="CJ67" s="565">
        <v>14</v>
      </c>
      <c r="CK67" s="565">
        <v>2</v>
      </c>
      <c r="CL67" s="565">
        <v>1</v>
      </c>
      <c r="CM67" s="565">
        <v>6</v>
      </c>
      <c r="CN67" s="565">
        <v>130</v>
      </c>
      <c r="CO67" s="1717">
        <v>19754</v>
      </c>
      <c r="CP67" s="1717">
        <v>80</v>
      </c>
      <c r="CQ67" s="1715">
        <v>702</v>
      </c>
      <c r="CR67" s="1716">
        <v>231</v>
      </c>
      <c r="CS67" s="532"/>
      <c r="CT67" s="599">
        <f>SUM(CU67:CZ67)</f>
        <v>178</v>
      </c>
      <c r="CU67" s="600">
        <v>39</v>
      </c>
      <c r="CV67" s="600">
        <v>9</v>
      </c>
      <c r="CW67" s="600">
        <v>68</v>
      </c>
      <c r="CX67" s="600">
        <v>12</v>
      </c>
      <c r="CY67" s="600">
        <v>33</v>
      </c>
      <c r="CZ67" s="600">
        <v>17</v>
      </c>
      <c r="DA67" s="600">
        <v>1301821</v>
      </c>
      <c r="DB67" s="1546">
        <v>9745</v>
      </c>
    </row>
    <row r="68" spans="1:106" ht="15.75" customHeight="1">
      <c r="A68" s="236" t="s">
        <v>241</v>
      </c>
      <c r="B68" s="146">
        <v>4</v>
      </c>
      <c r="C68" s="141">
        <v>99</v>
      </c>
      <c r="D68" s="141">
        <v>15</v>
      </c>
      <c r="E68" s="141">
        <v>19</v>
      </c>
      <c r="F68" s="157">
        <v>9</v>
      </c>
      <c r="G68" s="555">
        <v>2414</v>
      </c>
      <c r="H68" s="141">
        <v>814</v>
      </c>
      <c r="I68" s="1431">
        <v>251</v>
      </c>
      <c r="J68" s="238">
        <v>79</v>
      </c>
      <c r="K68" s="241">
        <v>32624</v>
      </c>
      <c r="L68" s="1720">
        <v>2106</v>
      </c>
      <c r="M68" s="1720">
        <v>3</v>
      </c>
      <c r="N68" s="241">
        <v>1111</v>
      </c>
      <c r="O68" s="241">
        <v>37</v>
      </c>
      <c r="P68" s="1720">
        <v>39</v>
      </c>
      <c r="Q68" s="241">
        <v>16150</v>
      </c>
      <c r="R68" s="1720">
        <v>1188</v>
      </c>
      <c r="S68" s="241">
        <v>6</v>
      </c>
      <c r="T68" s="241">
        <v>1793</v>
      </c>
      <c r="U68" s="1721">
        <v>179</v>
      </c>
      <c r="V68" s="245" t="s">
        <v>153</v>
      </c>
      <c r="W68" s="241" t="s">
        <v>153</v>
      </c>
      <c r="X68" s="245" t="s">
        <v>153</v>
      </c>
      <c r="Y68" s="241" t="s">
        <v>153</v>
      </c>
      <c r="Z68" s="241" t="s">
        <v>153</v>
      </c>
      <c r="AA68" s="245" t="s">
        <v>153</v>
      </c>
      <c r="AB68" s="241">
        <v>3</v>
      </c>
      <c r="AC68" s="241">
        <v>1903</v>
      </c>
      <c r="AD68" s="598">
        <v>177</v>
      </c>
      <c r="AE68" s="241">
        <v>20</v>
      </c>
      <c r="AF68" s="241">
        <v>15669</v>
      </c>
      <c r="AG68" s="1721">
        <v>1341</v>
      </c>
      <c r="AH68" s="238" t="s">
        <v>153</v>
      </c>
      <c r="AI68" s="241" t="s">
        <v>153</v>
      </c>
      <c r="AJ68" s="241" t="s">
        <v>153</v>
      </c>
      <c r="AK68" s="241">
        <v>3</v>
      </c>
      <c r="AL68" s="241">
        <v>1929</v>
      </c>
      <c r="AM68" s="1721">
        <v>57</v>
      </c>
      <c r="AN68" s="245" t="s">
        <v>153</v>
      </c>
      <c r="AO68" s="241" t="s">
        <v>153</v>
      </c>
      <c r="AP68" s="241">
        <v>8</v>
      </c>
      <c r="AQ68" s="1720">
        <v>2</v>
      </c>
      <c r="AR68" s="241">
        <v>1015994</v>
      </c>
      <c r="AS68" s="1684">
        <f>AR68/598509*100</f>
        <v>169.75417245187626</v>
      </c>
      <c r="AT68" s="241">
        <v>2074543</v>
      </c>
      <c r="AU68" s="246">
        <v>4014</v>
      </c>
      <c r="AV68" s="245">
        <v>19</v>
      </c>
      <c r="AW68" s="241">
        <v>3</v>
      </c>
      <c r="AX68" s="241">
        <v>1</v>
      </c>
      <c r="AY68" s="241">
        <v>7</v>
      </c>
      <c r="AZ68" s="241">
        <v>6</v>
      </c>
      <c r="BA68" s="245" t="s">
        <v>153</v>
      </c>
      <c r="BB68" s="141">
        <v>1</v>
      </c>
      <c r="BC68" s="141" t="s">
        <v>153</v>
      </c>
      <c r="BD68" s="141" t="s">
        <v>153</v>
      </c>
      <c r="BE68" s="141">
        <v>1</v>
      </c>
      <c r="BF68" s="1712">
        <v>14</v>
      </c>
      <c r="BG68" s="35"/>
      <c r="BH68" s="234">
        <v>11</v>
      </c>
      <c r="BI68" s="241">
        <v>42033.83</v>
      </c>
      <c r="BJ68" s="241">
        <v>1</v>
      </c>
      <c r="BK68" s="241">
        <v>27950</v>
      </c>
      <c r="BL68" s="241">
        <v>1</v>
      </c>
      <c r="BM68" s="241">
        <v>1</v>
      </c>
      <c r="BN68" s="241">
        <v>15975</v>
      </c>
      <c r="BO68" s="241">
        <f>2+4+1</f>
        <v>7</v>
      </c>
      <c r="BP68" s="241">
        <f>2872.67+990+102</f>
        <v>3964.67</v>
      </c>
      <c r="BQ68" s="241">
        <f>7+25</f>
        <v>32</v>
      </c>
      <c r="BR68" s="246">
        <f>43+59</f>
        <v>102</v>
      </c>
      <c r="BS68" s="35"/>
      <c r="BT68" s="185">
        <v>2</v>
      </c>
      <c r="BU68" s="1740">
        <v>2942</v>
      </c>
      <c r="BV68" s="723"/>
      <c r="BW68" s="234" t="s">
        <v>153</v>
      </c>
      <c r="BX68" s="241" t="s">
        <v>153</v>
      </c>
      <c r="BY68" s="241" t="s">
        <v>153</v>
      </c>
      <c r="BZ68" s="141">
        <v>180</v>
      </c>
      <c r="CA68" s="141">
        <v>8955</v>
      </c>
      <c r="CB68" s="141">
        <v>7617</v>
      </c>
      <c r="CC68" s="141">
        <v>35</v>
      </c>
      <c r="CD68" s="141">
        <v>1283</v>
      </c>
      <c r="CE68" s="147">
        <v>1123</v>
      </c>
      <c r="CF68" s="35"/>
      <c r="CG68" s="146">
        <v>521</v>
      </c>
      <c r="CH68" s="141">
        <v>106</v>
      </c>
      <c r="CI68" s="141">
        <v>23</v>
      </c>
      <c r="CJ68" s="141">
        <v>23</v>
      </c>
      <c r="CK68" s="141">
        <v>3</v>
      </c>
      <c r="CL68" s="141" t="s">
        <v>148</v>
      </c>
      <c r="CM68" s="141">
        <v>18</v>
      </c>
      <c r="CN68" s="141">
        <v>125</v>
      </c>
      <c r="CO68" s="1713">
        <v>36645</v>
      </c>
      <c r="CP68" s="1713">
        <v>134</v>
      </c>
      <c r="CQ68" s="1713">
        <v>787</v>
      </c>
      <c r="CR68" s="1712">
        <v>224</v>
      </c>
      <c r="CS68" s="35"/>
      <c r="CT68" s="812">
        <v>204</v>
      </c>
      <c r="CU68" s="577">
        <v>31</v>
      </c>
      <c r="CV68" s="577">
        <v>3</v>
      </c>
      <c r="CW68" s="577">
        <v>85</v>
      </c>
      <c r="CX68" s="577">
        <v>18</v>
      </c>
      <c r="CY68" s="577">
        <v>67</v>
      </c>
      <c r="CZ68" s="555" t="s">
        <v>153</v>
      </c>
      <c r="DA68" s="577">
        <v>2270904</v>
      </c>
      <c r="DB68" s="1442">
        <v>26785</v>
      </c>
    </row>
    <row r="69" spans="1:106" ht="15.75" customHeight="1" thickBot="1">
      <c r="A69" s="320" t="s">
        <v>243</v>
      </c>
      <c r="B69" s="103">
        <v>0</v>
      </c>
      <c r="C69" s="105">
        <v>0</v>
      </c>
      <c r="D69" s="105">
        <v>0</v>
      </c>
      <c r="E69" s="105">
        <v>6</v>
      </c>
      <c r="F69" s="105">
        <v>3</v>
      </c>
      <c r="G69" s="105">
        <v>569</v>
      </c>
      <c r="H69" s="105">
        <v>134</v>
      </c>
      <c r="I69" s="1724">
        <v>73</v>
      </c>
      <c r="J69" s="103">
        <v>36</v>
      </c>
      <c r="K69" s="105">
        <v>19002</v>
      </c>
      <c r="L69" s="1723">
        <v>1314</v>
      </c>
      <c r="M69" s="112" t="s">
        <v>153</v>
      </c>
      <c r="N69" s="112" t="s">
        <v>153</v>
      </c>
      <c r="O69" s="112" t="s">
        <v>153</v>
      </c>
      <c r="P69" s="1723">
        <v>18</v>
      </c>
      <c r="Q69" s="105">
        <v>8662</v>
      </c>
      <c r="R69" s="105">
        <v>701</v>
      </c>
      <c r="S69" s="105">
        <v>2</v>
      </c>
      <c r="T69" s="105">
        <v>1310</v>
      </c>
      <c r="U69" s="1724">
        <v>89</v>
      </c>
      <c r="V69" s="112" t="s">
        <v>153</v>
      </c>
      <c r="W69" s="112" t="s">
        <v>153</v>
      </c>
      <c r="X69" s="112" t="s">
        <v>153</v>
      </c>
      <c r="Y69" s="112" t="s">
        <v>153</v>
      </c>
      <c r="Z69" s="112" t="s">
        <v>153</v>
      </c>
      <c r="AA69" s="112" t="s">
        <v>153</v>
      </c>
      <c r="AB69" s="112" t="s">
        <v>153</v>
      </c>
      <c r="AC69" s="112" t="s">
        <v>153</v>
      </c>
      <c r="AD69" s="112" t="s">
        <v>153</v>
      </c>
      <c r="AE69" s="105">
        <v>2</v>
      </c>
      <c r="AF69" s="105">
        <v>2126</v>
      </c>
      <c r="AG69" s="1724">
        <v>168</v>
      </c>
      <c r="AH69" s="112" t="s">
        <v>153</v>
      </c>
      <c r="AI69" s="112" t="s">
        <v>153</v>
      </c>
      <c r="AJ69" s="112" t="s">
        <v>153</v>
      </c>
      <c r="AK69" s="112" t="s">
        <v>153</v>
      </c>
      <c r="AL69" s="112" t="s">
        <v>153</v>
      </c>
      <c r="AM69" s="1745" t="s">
        <v>153</v>
      </c>
      <c r="AN69" s="79" t="s">
        <v>153</v>
      </c>
      <c r="AO69" s="76" t="s">
        <v>153</v>
      </c>
      <c r="AP69" s="1726" t="s">
        <v>153</v>
      </c>
      <c r="AQ69" s="1723">
        <v>7</v>
      </c>
      <c r="AR69" s="105">
        <v>660780</v>
      </c>
      <c r="AS69" s="104">
        <v>209.4</v>
      </c>
      <c r="AT69" s="105">
        <v>702601</v>
      </c>
      <c r="AU69" s="119">
        <v>5562</v>
      </c>
      <c r="AV69" s="113">
        <v>9</v>
      </c>
      <c r="AW69" s="105">
        <v>1</v>
      </c>
      <c r="AX69" s="112" t="s">
        <v>153</v>
      </c>
      <c r="AY69" s="1723">
        <v>6</v>
      </c>
      <c r="AZ69" s="105">
        <v>2</v>
      </c>
      <c r="BA69" s="112" t="s">
        <v>153</v>
      </c>
      <c r="BB69" s="112" t="s">
        <v>153</v>
      </c>
      <c r="BC69" s="112" t="s">
        <v>153</v>
      </c>
      <c r="BD69" s="112" t="s">
        <v>153</v>
      </c>
      <c r="BE69" s="112" t="s">
        <v>153</v>
      </c>
      <c r="BF69" s="1724">
        <v>7</v>
      </c>
      <c r="BG69" s="35"/>
      <c r="BH69" s="103">
        <v>1</v>
      </c>
      <c r="BI69" s="105">
        <v>10114</v>
      </c>
      <c r="BJ69" s="112" t="s">
        <v>153</v>
      </c>
      <c r="BK69" s="112" t="s">
        <v>153</v>
      </c>
      <c r="BL69" s="105">
        <v>1</v>
      </c>
      <c r="BM69" s="105">
        <v>1</v>
      </c>
      <c r="BN69" s="105">
        <v>50395</v>
      </c>
      <c r="BO69" s="105">
        <v>1</v>
      </c>
      <c r="BP69" s="105">
        <v>288</v>
      </c>
      <c r="BQ69" s="105">
        <v>7</v>
      </c>
      <c r="BR69" s="1724">
        <v>23</v>
      </c>
      <c r="BS69" s="35"/>
      <c r="BT69" s="203">
        <v>3</v>
      </c>
      <c r="BU69" s="1743">
        <v>3262</v>
      </c>
      <c r="BV69" s="723"/>
      <c r="BW69" s="75" t="s">
        <v>153</v>
      </c>
      <c r="BX69" s="76" t="s">
        <v>153</v>
      </c>
      <c r="BY69" s="76" t="s">
        <v>153</v>
      </c>
      <c r="BZ69" s="76" t="s">
        <v>153</v>
      </c>
      <c r="CA69" s="76" t="s">
        <v>153</v>
      </c>
      <c r="CB69" s="76" t="s">
        <v>153</v>
      </c>
      <c r="CC69" s="105">
        <v>114</v>
      </c>
      <c r="CD69" s="105">
        <v>5255</v>
      </c>
      <c r="CE69" s="1724">
        <v>5255</v>
      </c>
      <c r="CF69" s="35"/>
      <c r="CG69" s="103">
        <v>292</v>
      </c>
      <c r="CH69" s="105">
        <v>64</v>
      </c>
      <c r="CI69" s="105">
        <v>10</v>
      </c>
      <c r="CJ69" s="105">
        <v>10</v>
      </c>
      <c r="CK69" s="105">
        <v>2</v>
      </c>
      <c r="CL69" s="1723">
        <v>1</v>
      </c>
      <c r="CM69" s="1723">
        <v>5</v>
      </c>
      <c r="CN69" s="105">
        <v>82</v>
      </c>
      <c r="CO69" s="1723">
        <v>22659</v>
      </c>
      <c r="CP69" s="1723">
        <v>80</v>
      </c>
      <c r="CQ69" s="1723">
        <v>91</v>
      </c>
      <c r="CR69" s="1724">
        <v>83</v>
      </c>
      <c r="CS69" s="35"/>
      <c r="CT69" s="690">
        <v>72</v>
      </c>
      <c r="CU69" s="1556">
        <v>7</v>
      </c>
      <c r="CV69" s="1379" t="s">
        <v>153</v>
      </c>
      <c r="CW69" s="1556">
        <v>24</v>
      </c>
      <c r="CX69" s="1556">
        <v>17</v>
      </c>
      <c r="CY69" s="1556">
        <v>24</v>
      </c>
      <c r="CZ69" s="1379" t="s">
        <v>153</v>
      </c>
      <c r="DA69" s="689">
        <v>1147362.26</v>
      </c>
      <c r="DB69" s="1558">
        <v>17587.150000000001</v>
      </c>
    </row>
    <row r="70" spans="1:106" s="404" customFormat="1" ht="15.75" customHeight="1" thickTop="1">
      <c r="A70" s="355" t="s">
        <v>244</v>
      </c>
      <c r="B70" s="302">
        <f>SUM(B8:B69)</f>
        <v>390</v>
      </c>
      <c r="C70" s="304">
        <f t="shared" ref="C70:U70" si="0">SUM(C8:C69)</f>
        <v>14988</v>
      </c>
      <c r="D70" s="304">
        <f t="shared" si="0"/>
        <v>2147</v>
      </c>
      <c r="E70" s="304">
        <f t="shared" si="0"/>
        <v>982</v>
      </c>
      <c r="F70" s="304">
        <f t="shared" si="0"/>
        <v>496</v>
      </c>
      <c r="G70" s="304">
        <f t="shared" si="0"/>
        <v>127924</v>
      </c>
      <c r="H70" s="304">
        <f t="shared" si="0"/>
        <v>50841</v>
      </c>
      <c r="I70" s="351">
        <f t="shared" si="0"/>
        <v>14949</v>
      </c>
      <c r="J70" s="302">
        <f t="shared" si="0"/>
        <v>2894</v>
      </c>
      <c r="K70" s="304">
        <f t="shared" si="0"/>
        <v>1116347</v>
      </c>
      <c r="L70" s="304">
        <f t="shared" si="0"/>
        <v>77875</v>
      </c>
      <c r="M70" s="304">
        <f t="shared" si="0"/>
        <v>70</v>
      </c>
      <c r="N70" s="304">
        <f t="shared" si="0"/>
        <v>25407</v>
      </c>
      <c r="O70" s="304">
        <f t="shared" si="0"/>
        <v>1791</v>
      </c>
      <c r="P70" s="304">
        <f t="shared" si="0"/>
        <v>1388</v>
      </c>
      <c r="Q70" s="304">
        <f t="shared" si="0"/>
        <v>539848</v>
      </c>
      <c r="R70" s="304">
        <f t="shared" si="0"/>
        <v>42060</v>
      </c>
      <c r="S70" s="304">
        <f t="shared" si="0"/>
        <v>200</v>
      </c>
      <c r="T70" s="304">
        <f t="shared" si="0"/>
        <v>52336</v>
      </c>
      <c r="U70" s="352">
        <f t="shared" si="0"/>
        <v>4259</v>
      </c>
      <c r="V70" s="350">
        <f>SUM(V8:V69)</f>
        <v>26</v>
      </c>
      <c r="W70" s="304">
        <f t="shared" ref="W70:AG70" si="1">SUM(W8:W69)</f>
        <v>10898</v>
      </c>
      <c r="X70" s="304">
        <f t="shared" si="1"/>
        <v>950</v>
      </c>
      <c r="Y70" s="304">
        <f t="shared" si="1"/>
        <v>3</v>
      </c>
      <c r="Z70" s="304">
        <f t="shared" si="1"/>
        <v>2348</v>
      </c>
      <c r="AA70" s="304">
        <f t="shared" si="1"/>
        <v>161</v>
      </c>
      <c r="AB70" s="304">
        <f t="shared" si="1"/>
        <v>39</v>
      </c>
      <c r="AC70" s="304">
        <f t="shared" si="1"/>
        <v>28901</v>
      </c>
      <c r="AD70" s="304">
        <f t="shared" si="1"/>
        <v>2551</v>
      </c>
      <c r="AE70" s="304">
        <f t="shared" si="1"/>
        <v>713</v>
      </c>
      <c r="AF70" s="304">
        <f t="shared" si="1"/>
        <v>486186</v>
      </c>
      <c r="AG70" s="351">
        <f t="shared" si="1"/>
        <v>36553</v>
      </c>
      <c r="AH70" s="302">
        <f>SUM(AH8:AH69)</f>
        <v>11</v>
      </c>
      <c r="AI70" s="304">
        <f t="shared" ref="AI70:AT70" si="2">SUM(AI8:AI69)</f>
        <v>1837</v>
      </c>
      <c r="AJ70" s="304">
        <f t="shared" si="2"/>
        <v>317</v>
      </c>
      <c r="AK70" s="304">
        <f t="shared" si="2"/>
        <v>120</v>
      </c>
      <c r="AL70" s="304">
        <f t="shared" si="2"/>
        <v>27716</v>
      </c>
      <c r="AM70" s="351">
        <f t="shared" si="2"/>
        <v>2701</v>
      </c>
      <c r="AN70" s="891">
        <f t="shared" si="2"/>
        <v>3</v>
      </c>
      <c r="AO70" s="304">
        <f t="shared" si="2"/>
        <v>10</v>
      </c>
      <c r="AP70" s="304">
        <f t="shared" si="2"/>
        <v>237</v>
      </c>
      <c r="AQ70" s="304">
        <f t="shared" si="2"/>
        <v>343</v>
      </c>
      <c r="AR70" s="304">
        <f t="shared" si="2"/>
        <v>61747167</v>
      </c>
      <c r="AS70" s="477">
        <f t="shared" si="2"/>
        <v>17469.397979190344</v>
      </c>
      <c r="AT70" s="304">
        <f t="shared" si="2"/>
        <v>107016787</v>
      </c>
      <c r="AU70" s="352">
        <f t="shared" ref="AU70" si="3">SUM(AU8:AU69)</f>
        <v>461717</v>
      </c>
      <c r="AV70" s="350">
        <f>SUM(AV8:AV69)</f>
        <v>636</v>
      </c>
      <c r="AW70" s="304">
        <f t="shared" ref="AW70:BF70" si="4">SUM(AW8:AW69)</f>
        <v>41</v>
      </c>
      <c r="AX70" s="304">
        <f t="shared" si="4"/>
        <v>48</v>
      </c>
      <c r="AY70" s="304">
        <f t="shared" si="4"/>
        <v>357</v>
      </c>
      <c r="AZ70" s="304">
        <f t="shared" si="4"/>
        <v>142</v>
      </c>
      <c r="BA70" s="304">
        <f t="shared" si="4"/>
        <v>5</v>
      </c>
      <c r="BB70" s="304">
        <f t="shared" si="4"/>
        <v>16</v>
      </c>
      <c r="BC70" s="304">
        <f t="shared" si="4"/>
        <v>15</v>
      </c>
      <c r="BD70" s="304">
        <f t="shared" si="4"/>
        <v>5</v>
      </c>
      <c r="BE70" s="304">
        <f t="shared" si="4"/>
        <v>10</v>
      </c>
      <c r="BF70" s="351">
        <f t="shared" si="4"/>
        <v>1506</v>
      </c>
      <c r="BG70" s="719"/>
      <c r="BH70" s="302">
        <f t="shared" ref="BH70:BR70" si="5">SUM(BH8:BH69)</f>
        <v>471</v>
      </c>
      <c r="BI70" s="304">
        <f t="shared" si="5"/>
        <v>1602498.0500000003</v>
      </c>
      <c r="BJ70" s="304">
        <f t="shared" si="5"/>
        <v>66</v>
      </c>
      <c r="BK70" s="304">
        <f t="shared" si="5"/>
        <v>1880783.1600000001</v>
      </c>
      <c r="BL70" s="304">
        <f t="shared" si="5"/>
        <v>264</v>
      </c>
      <c r="BM70" s="304">
        <f t="shared" si="5"/>
        <v>357</v>
      </c>
      <c r="BN70" s="304">
        <f t="shared" si="5"/>
        <v>5172892.879999999</v>
      </c>
      <c r="BO70" s="304">
        <f t="shared" si="5"/>
        <v>213</v>
      </c>
      <c r="BP70" s="304">
        <f t="shared" si="5"/>
        <v>201416.51520000002</v>
      </c>
      <c r="BQ70" s="304">
        <f t="shared" si="5"/>
        <v>448</v>
      </c>
      <c r="BR70" s="352">
        <f t="shared" si="5"/>
        <v>2161</v>
      </c>
      <c r="BS70" s="719"/>
      <c r="BT70" s="353">
        <f>SUM(BT8:BT69)</f>
        <v>278</v>
      </c>
      <c r="BU70" s="354">
        <f>SUM(BU8:BU69)</f>
        <v>126694</v>
      </c>
      <c r="BV70" s="729"/>
      <c r="BW70" s="302">
        <f>SUM(BW8:BW69)</f>
        <v>1407</v>
      </c>
      <c r="BX70" s="304">
        <f t="shared" ref="BX70:CN70" si="6">SUM(BX8:BX69)</f>
        <v>85715</v>
      </c>
      <c r="BY70" s="304">
        <f t="shared" si="6"/>
        <v>82172</v>
      </c>
      <c r="BZ70" s="304">
        <f t="shared" si="6"/>
        <v>2538</v>
      </c>
      <c r="CA70" s="304">
        <f t="shared" si="6"/>
        <v>156140</v>
      </c>
      <c r="CB70" s="304">
        <f t="shared" si="6"/>
        <v>136815</v>
      </c>
      <c r="CC70" s="304">
        <f t="shared" si="6"/>
        <v>1204</v>
      </c>
      <c r="CD70" s="304">
        <f t="shared" si="6"/>
        <v>53952</v>
      </c>
      <c r="CE70" s="351">
        <f t="shared" si="6"/>
        <v>50228</v>
      </c>
      <c r="CF70" s="719"/>
      <c r="CG70" s="302">
        <f t="shared" si="6"/>
        <v>24889</v>
      </c>
      <c r="CH70" s="304">
        <f t="shared" si="6"/>
        <v>3864</v>
      </c>
      <c r="CI70" s="304">
        <f t="shared" si="6"/>
        <v>958</v>
      </c>
      <c r="CJ70" s="304">
        <f t="shared" si="6"/>
        <v>925</v>
      </c>
      <c r="CK70" s="304">
        <f t="shared" si="6"/>
        <v>212</v>
      </c>
      <c r="CL70" s="304">
        <f t="shared" si="6"/>
        <v>194</v>
      </c>
      <c r="CM70" s="304">
        <f t="shared" si="6"/>
        <v>323</v>
      </c>
      <c r="CN70" s="304">
        <f t="shared" si="6"/>
        <v>5601</v>
      </c>
      <c r="CO70" s="393">
        <f>SUM(CO8:CO69)</f>
        <v>1292673</v>
      </c>
      <c r="CP70" s="393">
        <f>SUM(CP8:CP69)</f>
        <v>16235</v>
      </c>
      <c r="CQ70" s="393">
        <f>SUM(CQ8:CQ69)</f>
        <v>14231</v>
      </c>
      <c r="CR70" s="351">
        <f>SUM(CR8:CR69)</f>
        <v>9619</v>
      </c>
      <c r="CS70" s="719"/>
      <c r="CT70" s="1373">
        <f>SUM(CT8:CT69)</f>
        <v>10984</v>
      </c>
      <c r="CU70" s="1374">
        <f t="shared" ref="CU70:DB70" si="7">SUM(CU8:CU69)</f>
        <v>1534</v>
      </c>
      <c r="CV70" s="1374">
        <f t="shared" si="7"/>
        <v>337</v>
      </c>
      <c r="CW70" s="1374">
        <f t="shared" si="7"/>
        <v>5709</v>
      </c>
      <c r="CX70" s="1374">
        <f t="shared" si="7"/>
        <v>1480</v>
      </c>
      <c r="CY70" s="1374">
        <f>SUM(CY8:CY69)</f>
        <v>1588</v>
      </c>
      <c r="CZ70" s="1374">
        <f t="shared" si="7"/>
        <v>334</v>
      </c>
      <c r="DA70" s="1374">
        <f t="shared" si="7"/>
        <v>73235837.010000005</v>
      </c>
      <c r="DB70" s="1375">
        <f t="shared" si="7"/>
        <v>2552761.35</v>
      </c>
    </row>
    <row r="71" spans="1:106" ht="15.75" customHeight="1">
      <c r="A71" s="434" t="s">
        <v>245</v>
      </c>
      <c r="B71" s="435">
        <f>AVERAGE(B8:B69)</f>
        <v>9.75</v>
      </c>
      <c r="C71" s="429">
        <f t="shared" ref="C71:AO71" si="8">AVERAGE(C8:C69)</f>
        <v>374.7</v>
      </c>
      <c r="D71" s="429">
        <f t="shared" si="8"/>
        <v>53.674999999999997</v>
      </c>
      <c r="E71" s="429">
        <f t="shared" si="8"/>
        <v>15.838709677419354</v>
      </c>
      <c r="F71" s="429">
        <f t="shared" si="8"/>
        <v>9.1851851851851851</v>
      </c>
      <c r="G71" s="429">
        <f t="shared" si="8"/>
        <v>2063.2903225806454</v>
      </c>
      <c r="H71" s="429">
        <f t="shared" si="8"/>
        <v>891.9473684210526</v>
      </c>
      <c r="I71" s="430">
        <f t="shared" si="8"/>
        <v>241.11290322580646</v>
      </c>
      <c r="J71" s="431">
        <f t="shared" si="8"/>
        <v>46.677419354838712</v>
      </c>
      <c r="K71" s="429">
        <f t="shared" si="8"/>
        <v>18005.596774193549</v>
      </c>
      <c r="L71" s="429">
        <f t="shared" si="8"/>
        <v>1256.0483870967741</v>
      </c>
      <c r="M71" s="429">
        <f t="shared" si="8"/>
        <v>1.5909090909090908</v>
      </c>
      <c r="N71" s="429">
        <f t="shared" si="8"/>
        <v>577.43181818181813</v>
      </c>
      <c r="O71" s="429">
        <f t="shared" si="8"/>
        <v>40.704545454545453</v>
      </c>
      <c r="P71" s="429">
        <f t="shared" si="8"/>
        <v>22.387096774193548</v>
      </c>
      <c r="Q71" s="429">
        <f t="shared" si="8"/>
        <v>8849.9672131147545</v>
      </c>
      <c r="R71" s="429">
        <f t="shared" si="8"/>
        <v>689.50819672131149</v>
      </c>
      <c r="S71" s="429">
        <f t="shared" si="8"/>
        <v>3.4482758620689653</v>
      </c>
      <c r="T71" s="429">
        <f t="shared" si="8"/>
        <v>969.18518518518522</v>
      </c>
      <c r="U71" s="430">
        <f t="shared" si="8"/>
        <v>78.870370370370367</v>
      </c>
      <c r="V71" s="435">
        <f t="shared" si="8"/>
        <v>1.7333333333333334</v>
      </c>
      <c r="W71" s="429">
        <f t="shared" si="8"/>
        <v>726.5333333333333</v>
      </c>
      <c r="X71" s="429">
        <f t="shared" si="8"/>
        <v>63.333333333333336</v>
      </c>
      <c r="Y71" s="429">
        <f t="shared" si="8"/>
        <v>1</v>
      </c>
      <c r="Z71" s="429">
        <f t="shared" si="8"/>
        <v>782.66666666666663</v>
      </c>
      <c r="AA71" s="429">
        <f t="shared" si="8"/>
        <v>53.666666666666664</v>
      </c>
      <c r="AB71" s="429">
        <f t="shared" si="8"/>
        <v>1.2580645161290323</v>
      </c>
      <c r="AC71" s="429">
        <f t="shared" si="8"/>
        <v>932.29032258064512</v>
      </c>
      <c r="AD71" s="429">
        <f t="shared" si="8"/>
        <v>82.290322580645167</v>
      </c>
      <c r="AE71" s="429">
        <f t="shared" si="8"/>
        <v>12.084745762711865</v>
      </c>
      <c r="AF71" s="429">
        <f t="shared" si="8"/>
        <v>8839.7454545454548</v>
      </c>
      <c r="AG71" s="430">
        <f t="shared" si="8"/>
        <v>716.72549019607845</v>
      </c>
      <c r="AH71" s="431">
        <f t="shared" si="8"/>
        <v>1.5714285714285714</v>
      </c>
      <c r="AI71" s="429">
        <f t="shared" si="8"/>
        <v>262.42857142857144</v>
      </c>
      <c r="AJ71" s="429">
        <f t="shared" si="8"/>
        <v>45.285714285714285</v>
      </c>
      <c r="AK71" s="429">
        <f t="shared" si="8"/>
        <v>2.3529411764705883</v>
      </c>
      <c r="AL71" s="429">
        <f t="shared" si="8"/>
        <v>554.32000000000005</v>
      </c>
      <c r="AM71" s="430">
        <f t="shared" si="8"/>
        <v>58.717391304347828</v>
      </c>
      <c r="AN71" s="892">
        <f t="shared" si="8"/>
        <v>1</v>
      </c>
      <c r="AO71" s="429">
        <f t="shared" si="8"/>
        <v>1</v>
      </c>
      <c r="AP71" s="429">
        <f t="shared" ref="AP71:AU71" si="9">AVERAGE(AP8:AP69)</f>
        <v>4.1578947368421053</v>
      </c>
      <c r="AQ71" s="429">
        <f t="shared" si="9"/>
        <v>5.532258064516129</v>
      </c>
      <c r="AR71" s="429">
        <f t="shared" si="9"/>
        <v>995922.04838709673</v>
      </c>
      <c r="AS71" s="432">
        <f t="shared" si="9"/>
        <v>281.76448353532811</v>
      </c>
      <c r="AT71" s="429">
        <f t="shared" si="9"/>
        <v>1726077.2096774194</v>
      </c>
      <c r="AU71" s="436">
        <f t="shared" si="9"/>
        <v>10993.261904761905</v>
      </c>
      <c r="AV71" s="435">
        <f t="shared" ref="AV71:BF71" si="10">AVERAGE(AV8:AV69)</f>
        <v>10.96551724137931</v>
      </c>
      <c r="AW71" s="429">
        <f t="shared" si="10"/>
        <v>1.4137931034482758</v>
      </c>
      <c r="AX71" s="429">
        <f t="shared" si="10"/>
        <v>1.411764705882353</v>
      </c>
      <c r="AY71" s="429">
        <f t="shared" si="10"/>
        <v>6.6111111111111107</v>
      </c>
      <c r="AZ71" s="429">
        <f t="shared" si="10"/>
        <v>2.784313725490196</v>
      </c>
      <c r="BA71" s="429">
        <f t="shared" si="10"/>
        <v>1</v>
      </c>
      <c r="BB71" s="429">
        <f t="shared" si="10"/>
        <v>1.1428571428571428</v>
      </c>
      <c r="BC71" s="429">
        <f t="shared" si="10"/>
        <v>1.0714285714285714</v>
      </c>
      <c r="BD71" s="429">
        <f t="shared" si="10"/>
        <v>1</v>
      </c>
      <c r="BE71" s="429">
        <f t="shared" si="10"/>
        <v>1</v>
      </c>
      <c r="BF71" s="430">
        <f t="shared" si="10"/>
        <v>30.73469387755102</v>
      </c>
      <c r="BG71" s="35"/>
      <c r="BH71" s="431">
        <f t="shared" ref="BH71:BY71" si="11">AVERAGE(BH8:BH69)</f>
        <v>7.596774193548387</v>
      </c>
      <c r="BI71" s="429">
        <f t="shared" si="11"/>
        <v>25846.74274193549</v>
      </c>
      <c r="BJ71" s="429">
        <f t="shared" si="11"/>
        <v>1.346938775510204</v>
      </c>
      <c r="BK71" s="429">
        <f t="shared" si="11"/>
        <v>38383.329795918369</v>
      </c>
      <c r="BL71" s="429">
        <f t="shared" si="11"/>
        <v>4.4745762711864403</v>
      </c>
      <c r="BM71" s="429">
        <f t="shared" si="11"/>
        <v>6.0508474576271185</v>
      </c>
      <c r="BN71" s="429">
        <f t="shared" si="11"/>
        <v>87676.150508474559</v>
      </c>
      <c r="BO71" s="429">
        <f t="shared" si="11"/>
        <v>3.6101694915254239</v>
      </c>
      <c r="BP71" s="429">
        <f t="shared" si="11"/>
        <v>3413.8392406779667</v>
      </c>
      <c r="BQ71" s="429">
        <f t="shared" si="11"/>
        <v>7.3442622950819674</v>
      </c>
      <c r="BR71" s="436">
        <f t="shared" si="11"/>
        <v>35.42622950819672</v>
      </c>
      <c r="BS71" s="35"/>
      <c r="BT71" s="431">
        <f t="shared" si="11"/>
        <v>4.4838709677419351</v>
      </c>
      <c r="BU71" s="430">
        <f t="shared" si="11"/>
        <v>2111.5666666666666</v>
      </c>
      <c r="BV71" s="723"/>
      <c r="BW71" s="431">
        <f t="shared" si="11"/>
        <v>54.115384615384613</v>
      </c>
      <c r="BX71" s="429">
        <f t="shared" si="11"/>
        <v>3428.6</v>
      </c>
      <c r="BY71" s="429">
        <f t="shared" si="11"/>
        <v>3160.4615384615386</v>
      </c>
      <c r="BZ71" s="429">
        <f>AVERAGE(BZ8:BZ69)</f>
        <v>59.02325581395349</v>
      </c>
      <c r="CA71" s="429">
        <f>AVERAGE(CA8:CA69)</f>
        <v>3717.6190476190477</v>
      </c>
      <c r="CB71" s="429">
        <f>AVERAGE(CB8:CB69)</f>
        <v>3181.7441860465115</v>
      </c>
      <c r="CC71" s="429">
        <f t="shared" ref="CC71:CE71" si="12">AVERAGE(CC8:CC69)</f>
        <v>25.617021276595743</v>
      </c>
      <c r="CD71" s="429">
        <f t="shared" si="12"/>
        <v>1147.9148936170213</v>
      </c>
      <c r="CE71" s="436">
        <f t="shared" si="12"/>
        <v>1068.6808510638298</v>
      </c>
      <c r="CF71" s="35"/>
      <c r="CG71" s="428">
        <f t="shared" ref="CG71:CN71" si="13">AVERAGE(CG8:CG69)</f>
        <v>401.43548387096774</v>
      </c>
      <c r="CH71" s="429">
        <f t="shared" si="13"/>
        <v>62.322580645161288</v>
      </c>
      <c r="CI71" s="429">
        <f t="shared" si="13"/>
        <v>15.451612903225806</v>
      </c>
      <c r="CJ71" s="429">
        <f t="shared" si="13"/>
        <v>14.919354838709678</v>
      </c>
      <c r="CK71" s="429">
        <f t="shared" si="13"/>
        <v>3.4193548387096775</v>
      </c>
      <c r="CL71" s="429">
        <f t="shared" si="13"/>
        <v>4.4090909090909092</v>
      </c>
      <c r="CM71" s="429">
        <f t="shared" si="13"/>
        <v>6.591836734693878</v>
      </c>
      <c r="CN71" s="429">
        <f t="shared" si="13"/>
        <v>90.338709677419359</v>
      </c>
      <c r="CO71" s="440">
        <f>AVERAGE(CO8:CO69)</f>
        <v>20849.564516129034</v>
      </c>
      <c r="CP71" s="440">
        <f>AVERAGE(CP8:CP69)</f>
        <v>261.85483870967744</v>
      </c>
      <c r="CQ71" s="440">
        <f>AVERAGE(CQ8:CQ69)</f>
        <v>229.53225806451613</v>
      </c>
      <c r="CR71" s="430">
        <f>AVERAGE(CR8:CR69)</f>
        <v>155.14516129032259</v>
      </c>
      <c r="CS71" s="35"/>
      <c r="CT71" s="886">
        <f>AVERAGE(CT8:CT69)</f>
        <v>177.16129032258064</v>
      </c>
      <c r="CU71" s="883">
        <f t="shared" ref="CU71:DB71" si="14">AVERAGE(CU8:CU69)</f>
        <v>24.741935483870968</v>
      </c>
      <c r="CV71" s="883">
        <f t="shared" si="14"/>
        <v>6.6078431372549016</v>
      </c>
      <c r="CW71" s="883">
        <f t="shared" si="14"/>
        <v>92.08064516129032</v>
      </c>
      <c r="CX71" s="883">
        <f t="shared" si="14"/>
        <v>23.870967741935484</v>
      </c>
      <c r="CY71" s="883">
        <f>AVERAGE(CY8:CY69)</f>
        <v>25.612903225806452</v>
      </c>
      <c r="CZ71" s="883">
        <f t="shared" si="14"/>
        <v>30.363636363636363</v>
      </c>
      <c r="DA71" s="883">
        <f t="shared" si="14"/>
        <v>1181223.1775806453</v>
      </c>
      <c r="DB71" s="1299">
        <f t="shared" si="14"/>
        <v>41173.570161290321</v>
      </c>
    </row>
    <row r="72" spans="1:106" s="69" customFormat="1" ht="13.95" customHeight="1">
      <c r="A72" s="415" t="s">
        <v>246</v>
      </c>
      <c r="B72" s="29"/>
      <c r="C72" s="379"/>
      <c r="D72" s="379"/>
      <c r="E72" s="379"/>
      <c r="F72" s="379"/>
      <c r="G72" s="379"/>
      <c r="H72" s="379"/>
      <c r="I72" s="379"/>
      <c r="J72" s="2061" t="s">
        <v>568</v>
      </c>
      <c r="K72" s="2061"/>
      <c r="L72" s="2061"/>
      <c r="M72" s="2061"/>
      <c r="N72" s="2061"/>
      <c r="O72" s="2061"/>
      <c r="P72" s="2061"/>
      <c r="Q72" s="2061"/>
      <c r="R72" s="2061"/>
      <c r="S72" s="2061"/>
      <c r="T72" s="2061"/>
      <c r="U72" s="2061"/>
      <c r="AN72" s="29" t="s">
        <v>569</v>
      </c>
      <c r="AR72" s="29"/>
      <c r="AV72" s="29"/>
      <c r="AZ72" s="29"/>
      <c r="BA72" s="29"/>
      <c r="BB72" s="29"/>
      <c r="BC72" s="29"/>
      <c r="BD72" s="29"/>
      <c r="BE72" s="29"/>
      <c r="BF72" s="29"/>
      <c r="BG72" s="29"/>
      <c r="BH72" s="29"/>
      <c r="BL72" s="379"/>
      <c r="BM72" s="379"/>
      <c r="BN72" s="379"/>
      <c r="BO72" s="379"/>
      <c r="BP72" s="379"/>
      <c r="BQ72" s="379"/>
      <c r="BR72" s="379"/>
      <c r="BS72" s="379"/>
      <c r="BT72" s="29"/>
      <c r="BU72" s="379"/>
      <c r="BW72" s="29"/>
      <c r="CG72" s="2058"/>
      <c r="CH72" s="2058"/>
      <c r="CI72" s="2058"/>
      <c r="CJ72" s="2058"/>
      <c r="CK72" s="2058"/>
      <c r="CT72" s="29"/>
    </row>
    <row r="73" spans="1:106" s="69" customFormat="1" ht="13.95" customHeight="1">
      <c r="A73" s="29"/>
      <c r="B73" s="29"/>
      <c r="C73" s="379"/>
      <c r="D73" s="379"/>
      <c r="E73" s="379"/>
      <c r="F73" s="379"/>
      <c r="G73" s="379"/>
      <c r="H73" s="379"/>
      <c r="I73" s="379"/>
      <c r="J73" s="379"/>
      <c r="K73" s="379"/>
      <c r="L73" s="379"/>
      <c r="M73" s="29"/>
      <c r="N73" s="29"/>
      <c r="O73" s="384"/>
      <c r="P73" s="384"/>
      <c r="Q73" s="384"/>
      <c r="R73" s="384"/>
      <c r="S73" s="384"/>
      <c r="T73" s="384"/>
      <c r="U73" s="384"/>
      <c r="V73" s="384"/>
      <c r="W73" s="29"/>
      <c r="X73" s="29"/>
      <c r="Y73" s="384"/>
      <c r="Z73" s="29"/>
      <c r="AA73" s="29"/>
      <c r="AC73" s="29"/>
      <c r="AD73" s="29"/>
      <c r="AE73" s="29"/>
      <c r="AF73" s="29"/>
      <c r="AG73" s="29"/>
      <c r="AH73" s="29"/>
      <c r="AI73" s="29"/>
      <c r="AJ73" s="29"/>
      <c r="AK73" s="29"/>
      <c r="AN73" s="29"/>
      <c r="AR73" s="29"/>
      <c r="AV73" s="29"/>
      <c r="AZ73" s="29"/>
      <c r="BA73" s="29"/>
      <c r="BB73" s="29"/>
      <c r="BC73" s="29"/>
      <c r="BD73" s="29"/>
      <c r="BE73" s="29"/>
      <c r="BF73" s="29"/>
      <c r="BG73" s="29"/>
      <c r="BH73" s="29"/>
      <c r="BL73" s="379"/>
      <c r="BM73" s="379"/>
      <c r="BN73" s="379"/>
      <c r="BO73" s="379"/>
      <c r="BP73" s="379"/>
      <c r="BQ73" s="379"/>
      <c r="BR73" s="379"/>
      <c r="BS73" s="379"/>
      <c r="BT73" s="29"/>
      <c r="BU73" s="379"/>
      <c r="CG73" s="29"/>
      <c r="CT73" s="29"/>
    </row>
    <row r="74" spans="1:106" s="69" customFormat="1" ht="13.95" customHeight="1">
      <c r="A74" s="401"/>
      <c r="B74" s="29"/>
      <c r="C74" s="379"/>
      <c r="D74" s="379"/>
      <c r="E74" s="379"/>
      <c r="F74" s="379"/>
      <c r="G74" s="379"/>
      <c r="H74" s="379"/>
      <c r="I74" s="379"/>
      <c r="J74" s="379"/>
      <c r="K74" s="379"/>
      <c r="L74" s="379"/>
      <c r="V74" s="384"/>
      <c r="W74" s="29"/>
      <c r="X74" s="29"/>
      <c r="Y74" s="384"/>
      <c r="Z74" s="29"/>
      <c r="AA74" s="29"/>
      <c r="AB74" s="384"/>
      <c r="AC74" s="29"/>
      <c r="AD74" s="29"/>
      <c r="AE74" s="29"/>
      <c r="AF74" s="29"/>
      <c r="AG74" s="29"/>
      <c r="AH74" s="29"/>
      <c r="AI74" s="29"/>
      <c r="AJ74" s="29"/>
      <c r="AK74" s="29"/>
      <c r="AN74" s="29"/>
      <c r="AO74" s="29"/>
      <c r="AP74" s="29"/>
      <c r="AQ74" s="29"/>
      <c r="AR74" s="29"/>
      <c r="AT74" s="29"/>
      <c r="AU74" s="29"/>
      <c r="AZ74" s="55"/>
      <c r="BA74" s="29"/>
      <c r="BT74" s="29"/>
      <c r="CG74" s="29"/>
      <c r="CH74" s="29"/>
      <c r="CT74" s="29"/>
    </row>
    <row r="75" spans="1:106" s="69" customFormat="1" ht="13.95" customHeight="1">
      <c r="A75" s="384"/>
      <c r="B75" s="29"/>
      <c r="C75" s="29"/>
      <c r="D75" s="29"/>
      <c r="E75" s="29"/>
      <c r="F75" s="29"/>
      <c r="G75" s="29"/>
      <c r="H75" s="29"/>
      <c r="I75" s="29"/>
      <c r="J75" s="29"/>
      <c r="K75" s="29"/>
      <c r="L75" s="29"/>
      <c r="V75" s="415"/>
      <c r="W75" s="29"/>
      <c r="X75" s="29"/>
      <c r="Y75" s="415"/>
      <c r="Z75" s="29"/>
      <c r="AA75" s="29"/>
      <c r="AB75" s="415"/>
      <c r="AC75" s="29"/>
      <c r="AD75" s="29"/>
      <c r="AE75" s="29"/>
      <c r="AF75" s="29"/>
      <c r="AG75" s="29"/>
      <c r="AH75" s="29"/>
      <c r="AI75" s="29"/>
      <c r="AJ75" s="29"/>
      <c r="AN75" s="29"/>
      <c r="AO75" s="29"/>
      <c r="AZ75" s="55"/>
      <c r="BA75" s="29"/>
      <c r="BL75" s="55"/>
      <c r="BM75" s="29"/>
      <c r="BT75" s="29"/>
      <c r="CG75" s="29"/>
      <c r="CH75" s="384"/>
      <c r="CI75" s="384"/>
      <c r="CJ75" s="384"/>
      <c r="CK75" s="384"/>
      <c r="CL75" s="384"/>
      <c r="CM75" s="384"/>
      <c r="CN75" s="384"/>
      <c r="CO75" s="384"/>
      <c r="CP75" s="384"/>
      <c r="CQ75" s="384"/>
      <c r="CR75" s="384"/>
      <c r="CS75" s="383"/>
      <c r="CT75" s="29"/>
    </row>
    <row r="76" spans="1:106" s="69" customFormat="1" ht="13.95" customHeight="1">
      <c r="B76" s="29"/>
      <c r="C76" s="29"/>
      <c r="F76" s="29"/>
      <c r="H76" s="29"/>
      <c r="V76" s="2107"/>
      <c r="W76" s="2107"/>
      <c r="X76" s="2107"/>
      <c r="Y76" s="2107"/>
      <c r="Z76" s="2107"/>
      <c r="AA76" s="2107"/>
      <c r="AB76" s="2107"/>
      <c r="AC76" s="2107"/>
      <c r="AD76" s="2107"/>
      <c r="AE76" s="2107"/>
      <c r="AF76" s="2107"/>
      <c r="AG76" s="2107"/>
      <c r="AH76" s="2107"/>
      <c r="AI76" s="2107"/>
      <c r="AJ76" s="2107"/>
      <c r="AK76" s="2107"/>
      <c r="AL76" s="2107"/>
      <c r="BT76" s="29"/>
      <c r="CG76" s="29"/>
      <c r="CH76" s="384"/>
      <c r="CI76" s="384"/>
      <c r="CJ76" s="384"/>
      <c r="CK76" s="384"/>
      <c r="CL76" s="384"/>
      <c r="CM76" s="384"/>
      <c r="CN76" s="384"/>
      <c r="CO76" s="384"/>
      <c r="CP76" s="384"/>
      <c r="CQ76" s="384"/>
      <c r="CR76" s="384"/>
      <c r="CS76" s="384"/>
      <c r="CT76" s="29"/>
    </row>
    <row r="77" spans="1:106" s="69" customFormat="1" ht="13.95" customHeight="1">
      <c r="B77" s="29"/>
      <c r="F77" s="29"/>
      <c r="H77" s="29"/>
      <c r="V77" s="384"/>
      <c r="W77" s="29"/>
      <c r="X77" s="29"/>
      <c r="Y77" s="384"/>
      <c r="Z77" s="29"/>
      <c r="AA77" s="29"/>
      <c r="AB77" s="384"/>
      <c r="AC77" s="29"/>
      <c r="AD77" s="29"/>
      <c r="BT77" s="29"/>
      <c r="CG77" s="29"/>
      <c r="CT77" s="29"/>
    </row>
    <row r="78" spans="1:106" s="69" customFormat="1" ht="15" customHeight="1">
      <c r="M78" s="2108"/>
      <c r="N78" s="2108"/>
      <c r="O78" s="2108"/>
      <c r="P78" s="2108"/>
      <c r="Q78" s="2108"/>
      <c r="R78" s="2108"/>
      <c r="S78" s="2108"/>
      <c r="T78" s="2108"/>
      <c r="U78" s="2108"/>
      <c r="V78" s="2107"/>
      <c r="W78" s="2107"/>
      <c r="X78" s="2107"/>
      <c r="Y78" s="2107"/>
      <c r="Z78" s="2107"/>
      <c r="AA78" s="2107"/>
      <c r="AB78" s="2107"/>
      <c r="AC78" s="2107"/>
      <c r="AD78" s="2107"/>
      <c r="AE78" s="2107"/>
      <c r="AF78" s="2107"/>
      <c r="AG78" s="2107"/>
      <c r="AH78" s="2107"/>
      <c r="AI78" s="2107"/>
      <c r="AJ78" s="2107"/>
      <c r="AK78" s="2107"/>
      <c r="AQ78" s="2180"/>
      <c r="AR78" s="2180"/>
      <c r="AS78" s="2180"/>
      <c r="AT78" s="413"/>
      <c r="AU78" s="413"/>
      <c r="BT78" s="29"/>
      <c r="CG78" s="29"/>
      <c r="CH78" s="413"/>
      <c r="CI78" s="413"/>
      <c r="CJ78" s="413"/>
      <c r="CK78" s="413"/>
      <c r="CL78" s="413"/>
      <c r="CT78" s="29"/>
    </row>
    <row r="79" spans="1:106" s="69" customFormat="1" ht="13.5" customHeight="1">
      <c r="M79" s="2108"/>
      <c r="N79" s="2108"/>
      <c r="O79" s="2108"/>
      <c r="P79" s="2108"/>
      <c r="Q79" s="2108"/>
      <c r="R79" s="2108"/>
      <c r="S79" s="2108"/>
      <c r="T79" s="2108"/>
      <c r="U79" s="2108"/>
      <c r="V79" s="2109"/>
      <c r="W79" s="2109"/>
      <c r="X79" s="2109"/>
      <c r="Y79" s="2109"/>
      <c r="Z79" s="2109"/>
      <c r="AA79" s="2109"/>
      <c r="AB79" s="2109"/>
      <c r="AC79" s="2109"/>
      <c r="AD79" s="2109"/>
      <c r="AE79" s="2109"/>
      <c r="AF79" s="2109"/>
      <c r="AG79" s="2109"/>
      <c r="AH79" s="2109"/>
      <c r="AI79" s="2109"/>
      <c r="AJ79" s="2109"/>
      <c r="AK79" s="2109"/>
      <c r="AL79" s="2109"/>
      <c r="AM79" s="2109"/>
      <c r="AQ79" s="2184"/>
      <c r="AR79" s="2184"/>
      <c r="AS79" s="2184"/>
      <c r="AT79" s="411"/>
      <c r="AU79" s="411"/>
      <c r="BT79" s="29"/>
      <c r="CG79" s="384"/>
      <c r="CH79" s="384"/>
      <c r="CI79" s="384"/>
      <c r="CJ79" s="384"/>
      <c r="CK79" s="384"/>
      <c r="CL79" s="384"/>
      <c r="CT79" s="29"/>
    </row>
    <row r="80" spans="1:106">
      <c r="V80" s="2109"/>
      <c r="W80" s="2109"/>
      <c r="X80" s="2109"/>
      <c r="Y80" s="2109"/>
      <c r="Z80" s="2109"/>
      <c r="AA80" s="2109"/>
      <c r="AB80" s="2109"/>
      <c r="AC80" s="2109"/>
      <c r="AD80" s="2109"/>
      <c r="AE80" s="2109"/>
      <c r="AF80" s="2109"/>
      <c r="AG80" s="2109"/>
      <c r="AH80" s="2109"/>
      <c r="AI80" s="2109"/>
      <c r="AJ80" s="2109"/>
      <c r="AK80" s="2109"/>
      <c r="AL80" s="2109"/>
      <c r="AM80" s="2109"/>
      <c r="BT80" s="69"/>
      <c r="CG80" s="384"/>
      <c r="CH80" s="384"/>
      <c r="CI80" s="384"/>
      <c r="CJ80" s="384"/>
      <c r="CK80" s="384"/>
      <c r="CL80" s="384"/>
      <c r="CT80" s="29"/>
    </row>
    <row r="81" spans="3:39" ht="15.75" customHeight="1">
      <c r="C81" s="2107"/>
      <c r="D81" s="2107"/>
      <c r="E81" s="2107"/>
      <c r="F81" s="2107"/>
      <c r="G81" s="2107"/>
      <c r="H81" s="2107"/>
      <c r="I81" s="2107"/>
      <c r="J81" s="2107"/>
      <c r="K81" s="2107"/>
      <c r="V81" s="2109"/>
      <c r="W81" s="2109"/>
      <c r="X81" s="2109"/>
      <c r="Y81" s="2109"/>
      <c r="Z81" s="2109"/>
      <c r="AA81" s="2109"/>
      <c r="AB81" s="2109"/>
      <c r="AC81" s="2109"/>
      <c r="AD81" s="2109"/>
      <c r="AE81" s="2109"/>
      <c r="AF81" s="2109"/>
      <c r="AG81" s="2109"/>
      <c r="AH81" s="2109"/>
      <c r="AI81" s="2109"/>
      <c r="AJ81" s="2109"/>
      <c r="AK81" s="2109"/>
      <c r="AL81" s="2109"/>
      <c r="AM81" s="2109"/>
    </row>
    <row r="82" spans="3:39">
      <c r="C82" s="57"/>
    </row>
    <row r="83" spans="3:39" ht="14.25" customHeight="1">
      <c r="C83" s="2106"/>
      <c r="D83" s="2106"/>
      <c r="E83" s="2106"/>
      <c r="F83" s="2106"/>
      <c r="G83" s="2106"/>
      <c r="H83" s="2106"/>
      <c r="I83" s="2106"/>
      <c r="J83" s="2106"/>
      <c r="K83" s="2106"/>
      <c r="L83" s="2106"/>
    </row>
    <row r="84" spans="3:39">
      <c r="C84" s="2106"/>
      <c r="D84" s="2106"/>
      <c r="E84" s="2106"/>
      <c r="F84" s="2106"/>
      <c r="G84" s="2106"/>
      <c r="H84" s="2106"/>
      <c r="I84" s="2106"/>
      <c r="J84" s="2106"/>
      <c r="K84" s="2106"/>
      <c r="L84" s="2106"/>
    </row>
    <row r="139" spans="2:106" ht="28.5" customHeight="1">
      <c r="B139" s="1959"/>
      <c r="C139" s="1959"/>
      <c r="D139" s="1959"/>
      <c r="E139" s="1959"/>
      <c r="F139" s="1959"/>
      <c r="G139" s="1959"/>
      <c r="H139" s="1959"/>
      <c r="I139" s="1959"/>
      <c r="J139" s="1959"/>
      <c r="K139" s="1959"/>
      <c r="L139" s="1959"/>
      <c r="M139" s="1959"/>
      <c r="N139" s="1959"/>
      <c r="O139" s="1959"/>
      <c r="P139" s="1959"/>
      <c r="Q139" s="1959"/>
      <c r="R139" s="1959"/>
      <c r="S139" s="1959"/>
      <c r="T139" s="1959"/>
      <c r="U139" s="1959"/>
      <c r="V139" s="1959"/>
      <c r="W139" s="1959"/>
      <c r="X139" s="1959"/>
      <c r="Y139" s="1959"/>
      <c r="Z139" s="1959"/>
      <c r="AA139" s="1959"/>
      <c r="AB139" s="1959"/>
      <c r="AC139" s="1959"/>
      <c r="AD139" s="1959"/>
      <c r="AE139" s="1959"/>
      <c r="AF139" s="1959"/>
      <c r="AG139" s="1959"/>
      <c r="AH139" s="1959"/>
      <c r="AI139" s="1959"/>
      <c r="AJ139" s="1959"/>
      <c r="AK139" s="1959"/>
      <c r="AL139" s="1959"/>
      <c r="AM139" s="1959"/>
      <c r="AN139" s="1959"/>
      <c r="AO139" s="1959"/>
      <c r="AP139" s="1959"/>
      <c r="AQ139" s="1959"/>
      <c r="AR139" s="1959"/>
      <c r="AS139" s="1959"/>
      <c r="AT139" s="1959"/>
      <c r="AU139" s="1959"/>
      <c r="AV139" s="1959"/>
      <c r="AW139" s="1959"/>
      <c r="AX139" s="1959"/>
      <c r="AY139" s="1959"/>
      <c r="AZ139" s="64"/>
      <c r="BA139" s="64"/>
      <c r="BB139" s="64"/>
      <c r="BC139" s="64"/>
      <c r="BD139" s="64"/>
      <c r="BE139" s="64"/>
      <c r="BF139" s="64"/>
      <c r="BG139" s="64"/>
      <c r="BH139" s="64"/>
      <c r="BI139" s="64"/>
      <c r="BJ139" s="64"/>
      <c r="BK139" s="64"/>
      <c r="BL139" s="371"/>
      <c r="BM139" s="371"/>
      <c r="BN139" s="371"/>
      <c r="BO139" s="371"/>
      <c r="BP139" s="371"/>
      <c r="BQ139" s="371"/>
      <c r="BR139" s="371"/>
      <c r="BS139" s="371"/>
      <c r="BT139" s="371"/>
      <c r="BU139" s="371"/>
      <c r="BV139" s="371"/>
      <c r="BW139" s="64"/>
      <c r="BX139" s="64"/>
      <c r="BY139" s="64"/>
      <c r="BZ139" s="64"/>
      <c r="CA139" s="64"/>
      <c r="CB139" s="64"/>
      <c r="CC139" s="64"/>
      <c r="CD139" s="64"/>
      <c r="CE139" s="64"/>
      <c r="CF139" s="64"/>
      <c r="CG139" s="1959"/>
      <c r="CH139" s="1959"/>
      <c r="CI139" s="1959"/>
      <c r="CJ139" s="1959"/>
      <c r="CK139" s="1959"/>
      <c r="CL139" s="1959"/>
      <c r="CM139" s="1959"/>
      <c r="CN139" s="1959"/>
      <c r="CO139" s="371"/>
      <c r="CP139" s="371"/>
      <c r="CQ139" s="371"/>
      <c r="CR139" s="371"/>
      <c r="CS139" s="371"/>
      <c r="CU139" s="64"/>
      <c r="CV139" s="64"/>
      <c r="CW139" s="64"/>
      <c r="CX139" s="64"/>
      <c r="CY139" s="64"/>
      <c r="CZ139" s="64"/>
      <c r="DA139" s="371"/>
      <c r="DB139" s="371"/>
    </row>
    <row r="140" spans="2:106" ht="14.4">
      <c r="CT140" s="64"/>
    </row>
  </sheetData>
  <customSheetViews>
    <customSheetView guid="{CFB8F6A3-286B-44DA-98E2-E06FA9DC17D9}" scale="90" showGridLines="0">
      <pane xSplit="1" ySplit="6" topLeftCell="B40" activePane="bottomRight" state="frozen"/>
      <selection pane="bottomRight" activeCell="A7" sqref="A7:A54"/>
      <colBreaks count="3" manualBreakCount="3">
        <brk id="9" max="1048575" man="1"/>
        <brk id="35" max="71" man="1"/>
        <brk id="61" max="71" man="1"/>
      </colBreaks>
      <pageMargins left="0" right="0" top="0" bottom="0" header="0" footer="0"/>
      <pageSetup paperSize="9" scale="80" firstPageNumber="12" fitToWidth="0" orientation="portrait" useFirstPageNumber="1" r:id="rId1"/>
      <headerFooter alignWithMargins="0"/>
    </customSheetView>
    <customSheetView guid="{429188B7-F8E8-41E0-BAA6-8F869C883D4F}" showGridLines="0">
      <pane xSplit="1" ySplit="6" topLeftCell="B7" activePane="bottomRight" state="frozen"/>
      <selection pane="bottomRight" activeCell="A2" sqref="A2"/>
      <colBreaks count="8" manualBreakCount="8">
        <brk id="9" max="1048575" man="1"/>
        <brk id="21" min="1" max="75" man="1"/>
        <brk id="33" min="1" max="75" man="1"/>
        <brk id="46" min="1" max="75" man="1"/>
        <brk id="58" min="1" max="75" man="1"/>
        <brk id="70" min="1" max="75" man="1"/>
        <brk id="83" min="1" max="75" man="1"/>
        <brk id="93" min="1" max="75" man="1"/>
      </colBreaks>
      <pageMargins left="0" right="0" top="0" bottom="0" header="0" footer="0"/>
      <pageSetup paperSize="8" firstPageNumber="12" fitToWidth="0" orientation="portrait" r:id="rId2"/>
      <headerFooter alignWithMargins="0">
        <oddHeader>&amp;L&amp;"ＭＳ Ｐゴシック,太字"&amp;16 ７　施　設</oddHeader>
      </headerFooter>
    </customSheetView>
  </customSheetViews>
  <mergeCells count="138">
    <mergeCell ref="CG139:CN139"/>
    <mergeCell ref="CH3:CH6"/>
    <mergeCell ref="AQ78:AS78"/>
    <mergeCell ref="BA4:BA6"/>
    <mergeCell ref="CC3:CE3"/>
    <mergeCell ref="AN139:AY139"/>
    <mergeCell ref="E5:F5"/>
    <mergeCell ref="B5:B6"/>
    <mergeCell ref="C5:C6"/>
    <mergeCell ref="D5:D6"/>
    <mergeCell ref="G5:H5"/>
    <mergeCell ref="BK4:BK6"/>
    <mergeCell ref="AQ79:AS79"/>
    <mergeCell ref="V3:AA3"/>
    <mergeCell ref="AH4:AJ4"/>
    <mergeCell ref="AK4:AM4"/>
    <mergeCell ref="V4:X4"/>
    <mergeCell ref="AE4:AG4"/>
    <mergeCell ref="P3:U3"/>
    <mergeCell ref="AB4:AD4"/>
    <mergeCell ref="E4:I4"/>
    <mergeCell ref="B3:I3"/>
    <mergeCell ref="B4:D4"/>
    <mergeCell ref="BE4:BE6"/>
    <mergeCell ref="AP3:AP6"/>
    <mergeCell ref="AO4:AO6"/>
    <mergeCell ref="AN4:AN6"/>
    <mergeCell ref="N5:N6"/>
    <mergeCell ref="BU4:BU6"/>
    <mergeCell ref="BT4:BT6"/>
    <mergeCell ref="CQ3:CQ6"/>
    <mergeCell ref="BT3:BU3"/>
    <mergeCell ref="BI4:BI6"/>
    <mergeCell ref="BQ4:BR6"/>
    <mergeCell ref="BW4:BY5"/>
    <mergeCell ref="BZ4:CB5"/>
    <mergeCell ref="CC4:CE5"/>
    <mergeCell ref="CI3:CJ5"/>
    <mergeCell ref="BW3:CB3"/>
    <mergeCell ref="BN4:BN6"/>
    <mergeCell ref="BL4:BM6"/>
    <mergeCell ref="AQ4:AQ6"/>
    <mergeCell ref="AT4:AT6"/>
    <mergeCell ref="AU4:AU6"/>
    <mergeCell ref="BP4:BP6"/>
    <mergeCell ref="BJ4:BJ6"/>
    <mergeCell ref="BF4:BF6"/>
    <mergeCell ref="AY4:AY6"/>
    <mergeCell ref="BJ3:BK3"/>
    <mergeCell ref="AX4:AX6"/>
    <mergeCell ref="AW4:AW6"/>
    <mergeCell ref="AQ3:AU3"/>
    <mergeCell ref="BD4:BD6"/>
    <mergeCell ref="BB4:BB6"/>
    <mergeCell ref="AZ4:AZ6"/>
    <mergeCell ref="BH4:BH6"/>
    <mergeCell ref="AV3:BE3"/>
    <mergeCell ref="BC4:BC6"/>
    <mergeCell ref="DB3:DB6"/>
    <mergeCell ref="CG72:CK72"/>
    <mergeCell ref="CG3:CG6"/>
    <mergeCell ref="CN3:CN6"/>
    <mergeCell ref="CL4:CL6"/>
    <mergeCell ref="DA3:DA6"/>
    <mergeCell ref="CZ4:CZ6"/>
    <mergeCell ref="CV4:CV6"/>
    <mergeCell ref="CX4:CX6"/>
    <mergeCell ref="CO3:CO6"/>
    <mergeCell ref="CP3:CP6"/>
    <mergeCell ref="CR3:CR6"/>
    <mergeCell ref="CW4:CW6"/>
    <mergeCell ref="CT3:CZ3"/>
    <mergeCell ref="CY4:CY6"/>
    <mergeCell ref="CK3:CM3"/>
    <mergeCell ref="CM4:CM6"/>
    <mergeCell ref="CK4:CK6"/>
    <mergeCell ref="CU4:CU6"/>
    <mergeCell ref="B139:L139"/>
    <mergeCell ref="M139:U139"/>
    <mergeCell ref="C83:L84"/>
    <mergeCell ref="C81:K81"/>
    <mergeCell ref="V76:AL76"/>
    <mergeCell ref="M78:U79"/>
    <mergeCell ref="V139:AM139"/>
    <mergeCell ref="V78:AK78"/>
    <mergeCell ref="V79:AM81"/>
    <mergeCell ref="AB3:AG3"/>
    <mergeCell ref="X5:X6"/>
    <mergeCell ref="Y5:Y6"/>
    <mergeCell ref="Z5:Z6"/>
    <mergeCell ref="AA5:AA6"/>
    <mergeCell ref="AB5:AB6"/>
    <mergeCell ref="S5:S6"/>
    <mergeCell ref="T5:T6"/>
    <mergeCell ref="U5:U6"/>
    <mergeCell ref="V5:V6"/>
    <mergeCell ref="W5:W6"/>
    <mergeCell ref="AD5:AD6"/>
    <mergeCell ref="AE5:AE6"/>
    <mergeCell ref="AH5:AH6"/>
    <mergeCell ref="AI5:AI6"/>
    <mergeCell ref="AJ5:AJ6"/>
    <mergeCell ref="AK5:AK6"/>
    <mergeCell ref="I5:I6"/>
    <mergeCell ref="J5:J6"/>
    <mergeCell ref="K5:K6"/>
    <mergeCell ref="L5:L6"/>
    <mergeCell ref="M5:M6"/>
    <mergeCell ref="AF5:AF6"/>
    <mergeCell ref="AG5:AG6"/>
    <mergeCell ref="O5:O6"/>
    <mergeCell ref="P5:P6"/>
    <mergeCell ref="Q5:Q6"/>
    <mergeCell ref="R5:R6"/>
    <mergeCell ref="J72:U72"/>
    <mergeCell ref="AM5:AM6"/>
    <mergeCell ref="AR4:AS5"/>
    <mergeCell ref="M2:N2"/>
    <mergeCell ref="J4:L4"/>
    <mergeCell ref="J3:O3"/>
    <mergeCell ref="BZ2:CB2"/>
    <mergeCell ref="BW2:BY2"/>
    <mergeCell ref="AZ2:BB2"/>
    <mergeCell ref="M4:O4"/>
    <mergeCell ref="Y4:AA4"/>
    <mergeCell ref="S4:U4"/>
    <mergeCell ref="P4:R4"/>
    <mergeCell ref="AB2:AC2"/>
    <mergeCell ref="AH3:AM3"/>
    <mergeCell ref="AN2:AP2"/>
    <mergeCell ref="BQ3:BR3"/>
    <mergeCell ref="BO3:BP3"/>
    <mergeCell ref="BL3:BN3"/>
    <mergeCell ref="AN3:AO3"/>
    <mergeCell ref="BH3:BI3"/>
    <mergeCell ref="BO4:BO6"/>
    <mergeCell ref="AL5:AL6"/>
    <mergeCell ref="AC5:AC6"/>
  </mergeCells>
  <phoneticPr fontId="2"/>
  <dataValidations count="2">
    <dataValidation imeMode="disabled" allowBlank="1" showInputMessage="1" showErrorMessage="1" sqref="B36:DB40 AW23:CZ31 CI14 AV13:CH14 CJ13:DB14 CZ15:DB19 B13:AU20 B8:DB12 B21:CZ21 AV22:CZ22 AV23:AV34 AV15:CY20 CZ32:CZ34 CZ20 B22:AU35 AW32:CY35 DA20:DB35 B42:DB69" xr:uid="{00000000-0002-0000-0800-000000000000}"/>
    <dataValidation allowBlank="1" showInputMessage="1" showErrorMessage="1" sqref="CZ35 AV35 B41:DB41" xr:uid="{00000000-0002-0000-0800-000001000000}"/>
  </dataValidations>
  <pageMargins left="0.74803149606299202" right="0.23622047244094502" top="0.84" bottom="0.39370078740157499" header="0.59055118110236204" footer="0.31496062992126"/>
  <pageSetup paperSize="9" scale="65" firstPageNumber="12" fitToWidth="0" orientation="portrait" r:id="rId3"/>
  <headerFooter alignWithMargins="0">
    <oddHeader>&amp;L&amp;"ＭＳ Ｐゴシック,太字"&amp;16 ７　施　設</oddHeader>
  </headerFooter>
  <rowBreaks count="1" manualBreakCount="1">
    <brk id="80" max="101" man="1"/>
  </rowBreaks>
  <colBreaks count="8" manualBreakCount="8">
    <brk id="9" max="1048575" man="1"/>
    <brk id="21" min="1" max="71" man="1"/>
    <brk id="33" min="1" max="71" man="1"/>
    <brk id="47" min="1" max="71" man="1"/>
    <brk id="59" min="1" max="71" man="1"/>
    <brk id="71" min="1" max="71" man="1"/>
    <brk id="84" min="1" max="71" man="1"/>
    <brk id="97" min="1" max="71" man="1"/>
  </col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25</vt:i4>
      </vt:variant>
    </vt:vector>
  </HeadingPairs>
  <TitlesOfParts>
    <vt:vector size="40" baseType="lpstr">
      <vt:lpstr>表紙</vt:lpstr>
      <vt:lpstr>記入要領</vt:lpstr>
      <vt:lpstr>１市　勢</vt:lpstr>
      <vt:lpstr>２職員数及び職員給料等</vt:lpstr>
      <vt:lpstr>３保健・福祉</vt:lpstr>
      <vt:lpstr>４環　境</vt:lpstr>
      <vt:lpstr>５産　業</vt:lpstr>
      <vt:lpstr>６　都　市 </vt:lpstr>
      <vt:lpstr>7　施　設</vt:lpstr>
      <vt:lpstr>ⅰ　歳入・歳出総額</vt:lpstr>
      <vt:lpstr>ⅱ　歳入内訳（款別）</vt:lpstr>
      <vt:lpstr>ⅲ　目的別歳出内訳</vt:lpstr>
      <vt:lpstr>ⅳ　市税内訳</vt:lpstr>
      <vt:lpstr>ⅴ　市税徴収率</vt:lpstr>
      <vt:lpstr>中核市合併の変遷</vt:lpstr>
      <vt:lpstr>'１市　勢'!Print_Area</vt:lpstr>
      <vt:lpstr>'２職員数及び職員給料等'!Print_Area</vt:lpstr>
      <vt:lpstr>'３保健・福祉'!Print_Area</vt:lpstr>
      <vt:lpstr>'４環　境'!Print_Area</vt:lpstr>
      <vt:lpstr>'５産　業'!Print_Area</vt:lpstr>
      <vt:lpstr>'６　都　市 '!Print_Area</vt:lpstr>
      <vt:lpstr>'7　施　設'!Print_Area</vt:lpstr>
      <vt:lpstr>'ⅰ　歳入・歳出総額'!Print_Area</vt:lpstr>
      <vt:lpstr>'ⅱ　歳入内訳（款別）'!Print_Area</vt:lpstr>
      <vt:lpstr>'ⅲ　目的別歳出内訳'!Print_Area</vt:lpstr>
      <vt:lpstr>'ⅳ　市税内訳'!Print_Area</vt:lpstr>
      <vt:lpstr>'ⅴ　市税徴収率'!Print_Area</vt:lpstr>
      <vt:lpstr>記入要領!Print_Area</vt:lpstr>
      <vt:lpstr>中核市合併の変遷!Print_Area</vt:lpstr>
      <vt:lpstr>'１市　勢'!Print_Titles</vt:lpstr>
      <vt:lpstr>'３保健・福祉'!Print_Titles</vt:lpstr>
      <vt:lpstr>'５産　業'!Print_Titles</vt:lpstr>
      <vt:lpstr>'６　都　市 '!Print_Titles</vt:lpstr>
      <vt:lpstr>'7　施　設'!Print_Titles</vt:lpstr>
      <vt:lpstr>'ⅰ　歳入・歳出総額'!Print_Titles</vt:lpstr>
      <vt:lpstr>'ⅱ　歳入内訳（款別）'!Print_Titles</vt:lpstr>
      <vt:lpstr>'ⅲ　目的別歳出内訳'!Print_Titles</vt:lpstr>
      <vt:lpstr>'ⅳ　市税内訳'!Print_Titles</vt:lpstr>
      <vt:lpstr>'ⅴ　市税徴収率'!Print_Titles</vt:lpstr>
      <vt:lpstr>記入要領!Print_Titles</vt:lpstr>
    </vt:vector>
  </TitlesOfParts>
  <Manager/>
  <Company>中核市市長会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中核市市長会</dc:creator>
  <cp:keywords/>
  <dc:description/>
  <cp:lastModifiedBy>川嶋洋平</cp:lastModifiedBy>
  <cp:revision/>
  <dcterms:created xsi:type="dcterms:W3CDTF">2001-12-18T06:11:10Z</dcterms:created>
  <dcterms:modified xsi:type="dcterms:W3CDTF">2025-12-11T01:19:22Z</dcterms:modified>
  <cp:category/>
  <cp:contentStatus/>
</cp:coreProperties>
</file>